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<sst xmlns="http://schemas.openxmlformats.org/spreadsheetml/2006/main" count="59386" uniqueCount="14303">
  <si>
    <t>Công ty tổ hợp cơ khí</t>
  </si>
  <si>
    <t>Địa chỉ:  Thaco Chu Lai</t>
  </si>
  <si>
    <t>Hotline: + 090 180 64 11</t>
  </si>
  <si>
    <t>BÁO CÁO SẢN XUẤT</t>
  </si>
  <si>
    <t>Ngày in biểu: Thứ bảy,12/11/2022 13:17:40</t>
  </si>
  <si>
    <t>STT</t>
  </si>
  <si>
    <t>Thời gian</t>
  </si>
  <si>
    <t>Khu vực</t>
  </si>
  <si>
    <t>Tên thiết bị</t>
  </si>
  <si>
    <t>Tốc độ</t>
  </si>
  <si>
    <t>2022-11-10 17:53:20</t>
  </si>
  <si>
    <t>khu vực 1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</si>
  <si>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</si>
  <si>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</si>
  <si>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</si>
  <si>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</si>
  <si>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</si>
  <si>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</si>
  <si>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</si>
  <si>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</si>
  <si>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</si>
  <si>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</si>
  <si>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</si>
  <si>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</si>
  <si>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</si>
  <si>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</si>
  <si>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</si>
  <si>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</si>
  <si>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</si>
  <si>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</si>
  <si>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</si>
  <si>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</si>
  <si>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</si>
  <si>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</si>
  <si>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</si>
  <si>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</si>
  <si>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</si>
  <si>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</si>
  <si>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</si>
  <si>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</si>
  <si>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</si>
  <si>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</si>
  <si>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</si>
  <si>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</si>
  <si>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</si>
  <si>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</si>
  <si>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</si>
  <si>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</si>
  <si>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</si>
  <si>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</si>
  <si>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</si>
  <si>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</si>
  <si>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</si>
  <si>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</si>
  <si>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</si>
  <si>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</si>
  <si>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</si>
  <si>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</si>
  <si>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</si>
  <si>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</si>
  <si>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</si>
  <si>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</si>
  <si>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</si>
  <si>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</si>
  <si>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</si>
  <si>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</si>
  <si>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</si>
  <si>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</si>
  <si>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</si>
  <si>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</si>
  <si>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</si>
  <si>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</si>
  <si>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</si>
  <si>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</si>
  <si>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</si>
  <si>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</si>
  <si>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</si>
  <si>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</si>
  <si>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</si>
  <si>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</si>
  <si>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</si>
  <si>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</si>
  <si>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</si>
  <si>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</si>
  <si>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</si>
  <si>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</si>
  <si>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</si>
  <si>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</si>
  <si>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</si>
  <si>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</si>
  <si>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</si>
  <si>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</si>
  <si>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</si>
  <si>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</si>
  <si>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</si>
  <si>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</si>
  <si>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</si>
  <si>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</si>
  <si>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</si>
  <si>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</si>
  <si>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</si>
  <si>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</si>
  <si>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</si>
  <si>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</si>
  <si>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</si>
  <si>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</si>
  <si>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</si>
  <si>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</si>
  <si>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</si>
  <si>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</si>
  <si>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</si>
  <si>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</si>
  <si>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</si>
  <si>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</si>
  <si>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</si>
  <si>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</si>
  <si>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</si>
  <si>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</si>
  <si>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</si>
  <si>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</si>
  <si>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</si>
  <si>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</si>
  <si>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</si>
  <si>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</si>
  <si>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</si>
  <si>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</si>
  <si>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</si>
  <si>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</si>
  <si>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</si>
  <si>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</si>
  <si>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</si>
  <si>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</si>
  <si>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</si>
  <si>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</si>
  <si>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</si>
  <si>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</si>
  <si>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</si>
  <si>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</si>
  <si>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</si>
  <si>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</si>
  <si>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</si>
  <si>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</si>
  <si>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</si>
  <si>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</si>
  <si>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</si>
  <si>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</si>
  <si>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</si>
  <si>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</si>
  <si>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</si>
  <si>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</si>
  <si>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</si>
  <si>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</si>
  <si>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</si>
  <si>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</si>
  <si>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</si>
  <si>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</si>
  <si>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</si>
  <si>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</si>
  <si>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</si>
  <si>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</si>
  <si>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</si>
  <si>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</si>
  <si>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</si>
  <si>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</si>
  <si>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</si>
  <si>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</si>
  <si>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</si>
  <si>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</si>
  <si>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</si>
  <si>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</si>
  <si>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</si>
  <si>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</si>
  <si>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</si>
  <si>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</si>
  <si>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</si>
  <si>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</si>
  <si>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</si>
  <si>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</si>
  <si>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</si>
  <si>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</si>
  <si>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</si>
  <si>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</si>
  <si>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</si>
  <si>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</si>
  <si>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</si>
  <si>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</si>
  <si>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</si>
  <si>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</si>
  <si>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</si>
  <si>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</si>
  <si>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</si>
  <si>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</si>
  <si>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</si>
  <si>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</si>
  <si>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</si>
  <si>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</si>
  <si>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</si>
  <si>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</si>
  <si>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</si>
  <si>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</si>
  <si>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</si>
  <si>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</si>
  <si>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</si>
  <si>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</si>
  <si>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</si>
  <si>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</si>
  <si>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</si>
  <si>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</si>
  <si>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</si>
  <si>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</si>
  <si>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</si>
  <si>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</si>
  <si>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</si>
  <si>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</si>
  <si>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</si>
  <si>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</si>
  <si>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</si>
  <si>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</si>
  <si>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</si>
  <si>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</si>
  <si>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</si>
  <si>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</si>
  <si>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</si>
  <si>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</si>
  <si>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</si>
  <si>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</si>
  <si>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</si>
  <si>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</si>
  <si>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</si>
  <si>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</si>
  <si>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</si>
  <si>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</si>
  <si>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</si>
  <si>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</si>
  <si>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</si>
  <si>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</si>
  <si>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</si>
  <si>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</si>
  <si>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</si>
  <si>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</si>
  <si>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</si>
  <si>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</si>
  <si>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</si>
  <si>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</si>
  <si>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</si>
  <si>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</si>
  <si>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</si>
  <si>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</si>
  <si>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</si>
  <si>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</si>
  <si>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</si>
  <si>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</si>
  <si>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</si>
  <si>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</si>
  <si>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</si>
  <si>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</si>
  <si>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</si>
  <si>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</si>
  <si>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</si>
  <si>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</si>
  <si>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</si>
  <si>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</si>
  <si>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</si>
  <si>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</si>
  <si>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</si>
  <si>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</si>
  <si>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</si>
  <si>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</si>
  <si>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</si>
  <si>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</si>
  <si>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</si>
  <si>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</si>
  <si>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</si>
  <si>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</si>
  <si>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</si>
  <si>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</si>
  <si>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</si>
  <si>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</si>
  <si>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</si>
  <si>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</si>
  <si>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</si>
  <si>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</si>
  <si>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</si>
  <si>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</si>
  <si>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</si>
  <si>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</si>
  <si>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</si>
  <si>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</si>
  <si>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</si>
  <si>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</si>
  <si>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</si>
  <si>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</si>
  <si>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</si>
  <si>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</si>
  <si>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</si>
  <si>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</si>
  <si>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</si>
  <si>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</si>
  <si>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</si>
  <si>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</si>
  <si>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</si>
  <si>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</si>
  <si>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</si>
  <si>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</si>
  <si>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</si>
  <si>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</si>
  <si>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</si>
  <si>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</si>
  <si>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</si>
  <si>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</si>
  <si>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</si>
  <si>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</si>
  <si>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</si>
  <si>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</si>
  <si>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</si>
  <si>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</si>
  <si>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</si>
  <si>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</si>
  <si>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</si>
  <si>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</si>
  <si>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</si>
  <si>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</si>
  <si>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</si>
  <si>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</si>
  <si>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</si>
  <si>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</si>
  <si>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</si>
  <si>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</si>
  <si>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</si>
  <si>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</si>
  <si>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</si>
  <si>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</si>
  <si>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</si>
  <si>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</si>
  <si>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</si>
  <si>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</si>
  <si>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</si>
  <si>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</si>
  <si>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</si>
  <si>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</si>
  <si>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</si>
  <si>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</si>
  <si>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</si>
  <si>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</si>
  <si>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</si>
  <si>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</si>
  <si>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</si>
  <si>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</si>
  <si>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</si>
  <si>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</si>
  <si>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</si>
  <si>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</si>
  <si>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</si>
  <si>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</si>
  <si>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</si>
  <si>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</si>
  <si>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</si>
  <si>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</si>
  <si>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</si>
  <si>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</si>
  <si>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</si>
  <si>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</si>
  <si>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</si>
  <si>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</si>
  <si>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</si>
  <si>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</si>
  <si>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</si>
  <si>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</si>
  <si>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</si>
  <si>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</si>
  <si>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</si>
  <si>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</si>
  <si>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</si>
  <si>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</si>
  <si>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</si>
  <si>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</si>
  <si>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</si>
  <si>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</si>
  <si>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</si>
  <si>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</si>
  <si>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</si>
  <si>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</si>
  <si>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</si>
  <si>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</si>
  <si>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</si>
  <si>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</si>
  <si>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</si>
  <si>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</si>
  <si>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</si>
  <si>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</si>
  <si>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</si>
  <si>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</si>
  <si>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</si>
  <si>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</si>
  <si>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</si>
  <si>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</si>
  <si>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</si>
  <si>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</si>
  <si>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</si>
  <si>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</si>
  <si>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</si>
  <si>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</si>
  <si>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</si>
  <si>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</si>
  <si>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</si>
  <si>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</si>
  <si>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</si>
  <si>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</si>
  <si>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</si>
  <si>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</si>
  <si>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</si>
  <si>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</si>
  <si>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</si>
  <si>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</si>
  <si>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</si>
  <si>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</si>
  <si>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</si>
  <si>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</si>
  <si>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</si>
  <si>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</si>
  <si>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</si>
  <si>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</si>
  <si>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</si>
  <si>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</si>
  <si>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</si>
  <si>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</si>
  <si>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</si>
  <si>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</si>
  <si>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</si>
  <si>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</si>
  <si>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</si>
  <si>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</si>
  <si>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</si>
  <si>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</si>
  <si>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</si>
  <si>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</si>
  <si>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</si>
  <si>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</si>
  <si>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</si>
  <si>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</si>
  <si>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</si>
  <si>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</si>
  <si>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</si>
  <si>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</si>
  <si>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</si>
  <si>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</si>
  <si>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</si>
  <si>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</si>
  <si>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</si>
  <si>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</si>
  <si>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</si>
  <si>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</si>
  <si>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</si>
  <si>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</si>
  <si>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</si>
  <si>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</si>
  <si>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</si>
  <si>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</si>
  <si>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</si>
  <si>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</si>
  <si>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</si>
  <si>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</si>
  <si>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</si>
  <si>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</si>
  <si>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</si>
  <si>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</si>
  <si>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</si>
  <si>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</si>
  <si>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</si>
  <si>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</si>
  <si>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</si>
  <si>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</si>
  <si>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</si>
  <si>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</si>
  <si>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</si>
  <si>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</si>
  <si>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</si>
  <si>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</si>
  <si>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</si>
  <si>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</si>
  <si>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</si>
  <si>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</si>
  <si>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</si>
  <si>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</si>
  <si>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</si>
  <si>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</si>
  <si>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</si>
  <si>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</si>
  <si>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</si>
  <si>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</si>
  <si>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</si>
  <si>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</si>
  <si>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</si>
  <si>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</si>
  <si>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</si>
  <si>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</si>
  <si>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</si>
  <si>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</si>
  <si>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</si>
  <si>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</si>
  <si>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</si>
  <si>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</si>
  <si>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</si>
  <si>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</si>
  <si>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</si>
  <si>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</si>
  <si>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</si>
  <si>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</si>
  <si>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</si>
  <si>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</si>
  <si>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</si>
  <si>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</si>
  <si>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</si>
  <si>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</si>
  <si>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</si>
  <si>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</si>
  <si>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</si>
  <si>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</si>
  <si>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</si>
  <si>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</si>
  <si>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</si>
  <si>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</si>
  <si>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</si>
  <si>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</si>
  <si>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</si>
  <si>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</si>
  <si>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</si>
  <si>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</si>
  <si>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</si>
  <si>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</si>
  <si>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</si>
  <si>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</si>
  <si>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</si>
  <si>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</si>
  <si>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</si>
  <si>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</si>
  <si>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</si>
  <si>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</si>
  <si>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</si>
  <si>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</si>
  <si>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</si>
  <si>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</si>
  <si>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</si>
  <si>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</si>
  <si>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</si>
  <si>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</si>
  <si>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</si>
  <si>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</si>
  <si>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</si>
  <si>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</si>
  <si>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</si>
  <si>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</si>
  <si>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</si>
  <si>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</si>
  <si>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</si>
  <si>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</si>
  <si>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</si>
  <si>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</si>
  <si>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</si>
  <si>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</si>
  <si>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</si>
  <si>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</si>
  <si>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</si>
  <si>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</si>
  <si>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</si>
  <si>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</si>
  <si>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</si>
  <si>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</si>
  <si>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</si>
  <si>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</si>
  <si>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</si>
  <si>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</si>
  <si>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</si>
  <si>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</si>
  <si>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</si>
  <si>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</si>
  <si>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</si>
  <si>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</si>
  <si>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</si>
  <si>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</si>
  <si>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</si>
  <si>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</si>
  <si>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</si>
  <si>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</si>
  <si>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</si>
  <si>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</si>
  <si>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</si>
  <si>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</si>
  <si>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</si>
  <si>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</si>
  <si>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</si>
  <si>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</si>
  <si>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</si>
  <si>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</si>
  <si>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</si>
  <si>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</si>
  <si>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</si>
  <si>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</si>
  <si>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</si>
  <si>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</si>
  <si>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</si>
  <si>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</si>
  <si>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</si>
  <si>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</si>
  <si>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</si>
  <si>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</si>
  <si>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</si>
  <si>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</si>
  <si>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</si>
  <si>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</si>
  <si>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</si>
  <si>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</si>
  <si>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</si>
  <si>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</si>
  <si>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</si>
  <si>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</si>
  <si>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</si>
  <si>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</si>
  <si>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</si>
  <si>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</si>
  <si>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</si>
  <si>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</si>
  <si>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</si>
  <si>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</si>
  <si>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</si>
  <si>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</si>
  <si>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</si>
  <si>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</si>
  <si>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</si>
  <si>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</si>
  <si>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</si>
  <si>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</si>
  <si>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</si>
  <si>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</si>
  <si>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</si>
  <si>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</si>
  <si>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</si>
  <si>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</si>
  <si>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</si>
  <si>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</si>
  <si>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</si>
  <si>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</si>
  <si>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</si>
  <si>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</si>
  <si>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</si>
  <si>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</si>
  <si>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</si>
  <si>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</si>
  <si>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</si>
  <si>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</si>
  <si>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</si>
  <si>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</si>
  <si>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</si>
  <si>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</si>
  <si>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</si>
  <si>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</si>
  <si>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</si>
  <si>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</si>
  <si>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</si>
  <si>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</si>
  <si>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</si>
  <si>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</si>
  <si>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</si>
  <si>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</si>
  <si>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</si>
  <si>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</si>
  <si>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</si>
  <si>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</si>
  <si>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</si>
  <si>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</si>
  <si>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</si>
  <si>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</si>
  <si>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</si>
  <si>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</si>
  <si>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</si>
  <si>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</si>
  <si>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</si>
  <si>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</si>
  <si>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</si>
  <si>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</si>
  <si>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</si>
  <si>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</si>
  <si>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</si>
  <si>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</si>
  <si>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</si>
  <si>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</si>
  <si>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</si>
  <si>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</si>
  <si>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</si>
  <si>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</si>
  <si>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</si>
  <si>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</si>
  <si>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</si>
  <si>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</si>
  <si>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</si>
  <si>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</si>
  <si>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</si>
  <si>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</si>
  <si>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</si>
  <si>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</si>
  <si>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</si>
  <si>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</si>
  <si>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</si>
  <si>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</si>
  <si>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</si>
  <si>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</si>
  <si>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</si>
  <si>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</si>
  <si>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</si>
  <si>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</si>
  <si>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</si>
  <si>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</si>
  <si>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</si>
  <si>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</si>
  <si>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</si>
  <si>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</si>
  <si>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125</t>
  </si>
  <si>
    <t>2022-11-11 13:18:02</t>
  </si>
  <si>
    <t>262</t>
  </si>
  <si>
    <t>2022-11-11 13:18:03</t>
  </si>
  <si>
    <t>188</t>
  </si>
  <si>
    <t>2022-11-11 13:18:04</t>
  </si>
  <si>
    <t>234</t>
  </si>
  <si>
    <t>2022-11-11 13:18:05</t>
  </si>
  <si>
    <t>438</t>
  </si>
  <si>
    <t>2022-11-11 13:18:06</t>
  </si>
  <si>
    <t>157</t>
  </si>
  <si>
    <t>2022-11-11 13:18:07</t>
  </si>
  <si>
    <t>383</t>
  </si>
  <si>
    <t>2022-11-11 13:18:08</t>
  </si>
  <si>
    <t>173</t>
  </si>
  <si>
    <t>2022-11-11 13:18:09</t>
  </si>
  <si>
    <t>252</t>
  </si>
  <si>
    <t>2022-11-11 13:18:10</t>
  </si>
  <si>
    <t>397</t>
  </si>
  <si>
    <t>2022-11-11 13:18:11</t>
  </si>
  <si>
    <t>440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</si>
  <si>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</si>
  <si>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</si>
  <si>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</si>
  <si>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</si>
  <si>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</si>
  <si>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</si>
  <si>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</si>
  <si>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</si>
  <si>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</si>
  <si>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</si>
  <si>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</si>
  <si>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</si>
  <si>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</si>
  <si>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</si>
  <si>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</si>
  <si>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</si>
  <si>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</si>
  <si>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</si>
  <si>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</si>
  <si>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</si>
  <si>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</si>
  <si>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</si>
  <si>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</si>
  <si>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</si>
  <si>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</si>
  <si>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418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</si>
  <si>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</si>
  <si>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</si>
  <si>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</si>
  <si>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</si>
  <si>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</si>
  <si>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</si>
  <si>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</si>
  <si>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232</t>
  </si>
  <si>
    <t>2022-11-11 13:18:54</t>
  </si>
  <si>
    <t>305</t>
  </si>
  <si>
    <t>2022-11-11 13:18:55</t>
  </si>
  <si>
    <t>2022-11-11 13:18:56</t>
  </si>
  <si>
    <t>435</t>
  </si>
  <si>
    <t>2022-11-11 13:18:57</t>
  </si>
  <si>
    <t>2022-11-11 13:18:58</t>
  </si>
  <si>
    <t>224</t>
  </si>
  <si>
    <t>2022-11-11 13:18:59</t>
  </si>
  <si>
    <t>2022-11-11 13:19:00</t>
  </si>
  <si>
    <t>288</t>
  </si>
  <si>
    <t>2022-11-11 13:19:01</t>
  </si>
  <si>
    <t>2022-11-11 13:19:02</t>
  </si>
  <si>
    <t>412</t>
  </si>
  <si>
    <t>2022-11-11 13:19:03</t>
  </si>
  <si>
    <t>2022-11-11 13:19:04</t>
  </si>
  <si>
    <t>211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</si>
  <si>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</si>
  <si>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</si>
  <si>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</si>
  <si>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</si>
  <si>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</si>
  <si>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</si>
  <si>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</si>
  <si>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</si>
  <si>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</si>
  <si>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</si>
  <si>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</si>
  <si>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</si>
  <si>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</si>
  <si>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</si>
  <si>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</si>
  <si>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</si>
  <si>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</si>
  <si>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</si>
  <si>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</si>
  <si>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</si>
  <si>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</si>
  <si>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</si>
  <si>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</si>
  <si>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</si>
  <si>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</si>
  <si>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</si>
  <si>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</si>
  <si>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</si>
  <si>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</si>
  <si>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</si>
  <si>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</si>
  <si>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303</t>
  </si>
  <si>
    <t>2022-11-11 13:21:19</t>
  </si>
  <si>
    <t>2022-11-11 13:21:20</t>
  </si>
  <si>
    <t>2022-11-11 13:21:21</t>
  </si>
  <si>
    <t>191</t>
  </si>
  <si>
    <t>2022-11-11 13:21:22</t>
  </si>
  <si>
    <t>2022-11-11 13:21:23</t>
  </si>
  <si>
    <t>432</t>
  </si>
  <si>
    <t>2022-11-11 13:21:24</t>
  </si>
  <si>
    <t>319</t>
  </si>
  <si>
    <t>2022-11-11 13:21:25</t>
  </si>
  <si>
    <t>161</t>
  </si>
  <si>
    <t>2022-11-11 13:21:26</t>
  </si>
  <si>
    <t>220</t>
  </si>
  <si>
    <t>2022-11-11 13:21:27</t>
  </si>
  <si>
    <t>2022-11-11 13:21:28</t>
  </si>
  <si>
    <t>314</t>
  </si>
  <si>
    <t>2022-11-11 13:21:29</t>
  </si>
  <si>
    <t>2022-11-11 13:21:30</t>
  </si>
  <si>
    <t>301</t>
  </si>
  <si>
    <t>2022-11-11 13:21:31</t>
  </si>
  <si>
    <t>293</t>
  </si>
  <si>
    <t>2022-11-11 13:21:32</t>
  </si>
  <si>
    <t>2022-11-11 13:21:33</t>
  </si>
  <si>
    <t>367</t>
  </si>
  <si>
    <t>2022-11-11 13:21:34</t>
  </si>
  <si>
    <t>2022-11-11 13:21:35</t>
  </si>
  <si>
    <t>326</t>
  </si>
  <si>
    <t>2022-11-11 13:21:36</t>
  </si>
  <si>
    <t>2022-11-11 13:21:37</t>
  </si>
  <si>
    <t>213</t>
  </si>
  <si>
    <t>2022-11-11 13:21:38</t>
  </si>
  <si>
    <t>2022-11-11 13:21:39</t>
  </si>
  <si>
    <t>2022-11-11 13:21:40</t>
  </si>
  <si>
    <t>231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</si>
  <si>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</si>
  <si>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</si>
  <si>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</si>
  <si>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</si>
  <si>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</si>
  <si>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</si>
  <si>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</si>
  <si>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</si>
  <si>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</si>
  <si>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</si>
  <si>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</si>
  <si>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</si>
  <si>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</si>
  <si>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</si>
  <si>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</si>
  <si>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431</t>
  </si>
  <si>
    <t>2022-11-11 13:21:56</t>
  </si>
  <si>
    <t>180</t>
  </si>
  <si>
    <t>2022-11-11 13:21:57</t>
  </si>
  <si>
    <t>364</t>
  </si>
  <si>
    <t>2022-11-11 13:21:58</t>
  </si>
  <si>
    <t>358</t>
  </si>
  <si>
    <t>2022-11-11 13:21:59</t>
  </si>
  <si>
    <t>2022-11-11 13:22:00</t>
  </si>
  <si>
    <t>2022-11-11 13:22:01</t>
  </si>
  <si>
    <t>321</t>
  </si>
  <si>
    <t>2022-11-11 13:22:02</t>
  </si>
  <si>
    <t>2022-11-11 13:22:03</t>
  </si>
  <si>
    <t>309</t>
  </si>
  <si>
    <t>2022-11-11 13:22:04</t>
  </si>
  <si>
    <t>2022-11-11 13:22:05</t>
  </si>
  <si>
    <t>348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</si>
  <si>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</si>
  <si>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</si>
  <si>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</si>
  <si>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</si>
  <si>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</si>
  <si>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</si>
  <si>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398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</si>
  <si>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</si>
  <si>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</si>
  <si>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</si>
  <si>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</si>
  <si>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</si>
  <si>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</si>
  <si>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</si>
  <si>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</si>
  <si>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</si>
  <si>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</si>
  <si>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</si>
  <si>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</si>
  <si>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</si>
  <si>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</si>
  <si>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</si>
  <si>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</si>
  <si>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</si>
  <si>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</si>
  <si>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</si>
  <si>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</si>
  <si>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</si>
  <si>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</si>
  <si>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</si>
  <si>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</si>
  <si>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413</t>
  </si>
  <si>
    <t>2022-11-11 13:22:57</t>
  </si>
  <si>
    <t>323</t>
  </si>
  <si>
    <t>2022-11-11 13:22:58</t>
  </si>
  <si>
    <t>328</t>
  </si>
  <si>
    <t>2022-11-11 13:22:59</t>
  </si>
  <si>
    <t>2022-11-11 13:23:00</t>
  </si>
  <si>
    <t>226</t>
  </si>
  <si>
    <t>2022-11-11 13:23:01</t>
  </si>
  <si>
    <t>2022-11-11 13:23:02</t>
  </si>
  <si>
    <t>241</t>
  </si>
  <si>
    <t>2022-11-11 13:23:03</t>
  </si>
  <si>
    <t>2022-11-11 13:23:04</t>
  </si>
  <si>
    <t>271</t>
  </si>
  <si>
    <t>2022-11-11 13:23:05</t>
  </si>
  <si>
    <t>260</t>
  </si>
  <si>
    <t>2022-11-11 13:23:06</t>
  </si>
  <si>
    <t>2022-11-11 13:23:07</t>
  </si>
  <si>
    <t>414</t>
  </si>
  <si>
    <t>2022-11-11 13:23:08</t>
  </si>
  <si>
    <t>2022-11-11 13:23:09</t>
  </si>
  <si>
    <t>396</t>
  </si>
  <si>
    <t>2022-11-11 13:23:10</t>
  </si>
  <si>
    <t>2022-11-11 13:23:11</t>
  </si>
  <si>
    <t>318</t>
  </si>
  <si>
    <t>2022-11-11 13:23:12</t>
  </si>
  <si>
    <t>2022-11-11 13:23:13</t>
  </si>
  <si>
    <t>2022-11-11 13:23:14</t>
  </si>
  <si>
    <t>230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</si>
  <si>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</si>
  <si>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</si>
  <si>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</si>
  <si>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</si>
  <si>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</si>
  <si>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</si>
  <si>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</si>
  <si>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</si>
  <si>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223</t>
  </si>
  <si>
    <t>2022-11-11 13:24:33</t>
  </si>
  <si>
    <t>2022-11-11 13:24:34</t>
  </si>
  <si>
    <t>158</t>
  </si>
  <si>
    <t>2022-11-11 13:24:35</t>
  </si>
  <si>
    <t>190</t>
  </si>
  <si>
    <t>2022-11-11 13:24:36</t>
  </si>
  <si>
    <t>2022-11-11 13:24:37</t>
  </si>
  <si>
    <t>2022-11-11 13:24:38</t>
  </si>
  <si>
    <t>377</t>
  </si>
  <si>
    <t>2022-11-11 13:24:39</t>
  </si>
  <si>
    <t>2022-11-11 13:24:40</t>
  </si>
  <si>
    <t>152</t>
  </si>
  <si>
    <t>2022-11-11 13:24:41</t>
  </si>
  <si>
    <t>2022-11-11 13:24:42</t>
  </si>
  <si>
    <t>302</t>
  </si>
  <si>
    <t>2022-11-11 13:24:43</t>
  </si>
  <si>
    <t>2022-11-11 13:24:44</t>
  </si>
  <si>
    <t>448</t>
  </si>
  <si>
    <t>2022-11-11 13:24:45</t>
  </si>
  <si>
    <t>2022-11-11 13:24:46</t>
  </si>
  <si>
    <t>258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</si>
  <si>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</si>
  <si>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</si>
  <si>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</si>
  <si>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</si>
  <si>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</si>
  <si>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</si>
  <si>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</si>
  <si>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</si>
  <si>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</si>
  <si>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</si>
  <si>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</si>
  <si>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</si>
  <si>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</si>
  <si>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</si>
  <si>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245</t>
  </si>
  <si>
    <t>2022-11-11 13:25:29</t>
  </si>
  <si>
    <t>2022-11-11 13:25:30</t>
  </si>
  <si>
    <t>388</t>
  </si>
  <si>
    <t>2022-11-11 13:25:31</t>
  </si>
  <si>
    <t>2022-11-11 13:25:32</t>
  </si>
  <si>
    <t>196</t>
  </si>
  <si>
    <t>2022-11-11 13:25:33</t>
  </si>
  <si>
    <t>2022-11-11 13:25:34</t>
  </si>
  <si>
    <t>275</t>
  </si>
  <si>
    <t>2022-11-11 13:25:35</t>
  </si>
  <si>
    <t>2022-11-11 13:25:36</t>
  </si>
  <si>
    <t>399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</si>
  <si>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</si>
  <si>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</si>
  <si>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</si>
  <si>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</si>
  <si>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</si>
  <si>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</si>
  <si>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</si>
  <si>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</si>
  <si>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</si>
  <si>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</si>
  <si>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</si>
  <si>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</si>
  <si>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</si>
  <si>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</si>
  <si>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</si>
  <si>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</si>
  <si>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</si>
  <si>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266</t>
  </si>
  <si>
    <t>2022-11-11 13:25:54</t>
  </si>
  <si>
    <t>283</t>
  </si>
  <si>
    <t>2022-11-11 13:25:55</t>
  </si>
  <si>
    <t>2022-11-11 13:25:56</t>
  </si>
  <si>
    <t>345</t>
  </si>
  <si>
    <t>2022-11-11 13:25:57</t>
  </si>
  <si>
    <t>2022-11-11 13:25:58</t>
  </si>
  <si>
    <t>259</t>
  </si>
  <si>
    <t>2022-11-11 13:25:59</t>
  </si>
  <si>
    <t>385</t>
  </si>
  <si>
    <t>2022-11-11 13:26:00</t>
  </si>
  <si>
    <t>2022-11-11 13:26:01</t>
  </si>
  <si>
    <t>2022-11-11 13:27:41</t>
  </si>
  <si>
    <t>163</t>
  </si>
  <si>
    <t>2022-11-11 13:27:42</t>
  </si>
  <si>
    <t>336</t>
  </si>
  <si>
    <t>2022-11-11 13:27:43</t>
  </si>
  <si>
    <t>2022-11-11 13:27:44</t>
  </si>
  <si>
    <t>2022-11-11 13:27:45</t>
  </si>
  <si>
    <t>312</t>
  </si>
  <si>
    <t>2022-11-11 13:27:46</t>
  </si>
  <si>
    <t>324</t>
  </si>
  <si>
    <t>2022-11-11 13:27:47</t>
  </si>
  <si>
    <t>2022-11-11 13:27:48</t>
  </si>
  <si>
    <t>340</t>
  </si>
  <si>
    <t>2022-11-11 13:27:49</t>
  </si>
  <si>
    <t>2022-11-11 13:27:50</t>
  </si>
  <si>
    <t>2022-11-11 13:27:51</t>
  </si>
  <si>
    <t>2022-11-11 13:27:52</t>
  </si>
  <si>
    <t>2022-11-11 13:27:53</t>
  </si>
  <si>
    <t>274</t>
  </si>
  <si>
    <t>2022-11-11 13:27:54</t>
  </si>
  <si>
    <t>197</t>
  </si>
  <si>
    <t>2022-11-11 13:27:55</t>
  </si>
  <si>
    <t>2022-11-11 13:27:56</t>
  </si>
  <si>
    <t>406</t>
  </si>
  <si>
    <t>2022-11-11 13:27:57</t>
  </si>
  <si>
    <t>2022-11-11 13:27:58</t>
  </si>
  <si>
    <t>2022-11-11 13:27:59</t>
  </si>
  <si>
    <t>174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</si>
  <si>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</si>
  <si>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</si>
  <si>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</si>
  <si>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</si>
  <si>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</si>
  <si>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</si>
  <si>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246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</si>
  <si>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</si>
  <si>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</si>
  <si>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</si>
  <si>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</si>
  <si>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</si>
  <si>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</si>
  <si>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237</t>
  </si>
  <si>
    <t>2022-11-11 13:28:12</t>
  </si>
  <si>
    <t>2022-11-11 13:28:13</t>
  </si>
  <si>
    <t>341</t>
  </si>
  <si>
    <t>2022-11-11 14:10:31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</si>
  <si>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</si>
  <si>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</si>
  <si>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</si>
  <si>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</si>
  <si>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</si>
  <si>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</si>
  <si>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</si>
  <si>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</si>
  <si>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</si>
  <si>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</si>
  <si>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</si>
  <si>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</si>
  <si>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</si>
  <si>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</si>
  <si>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</si>
  <si>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</si>
  <si>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</si>
  <si>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</si>
  <si>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</si>
  <si>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</si>
  <si>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</si>
  <si>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</si>
  <si>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</si>
  <si>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</si>
  <si>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</si>
  <si>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</si>
  <si>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</si>
  <si>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</si>
  <si>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</si>
  <si>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</si>
  <si>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</si>
  <si>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</si>
  <si>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</si>
  <si>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</si>
  <si>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</si>
  <si>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</si>
  <si>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</si>
  <si>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</si>
  <si>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</si>
  <si>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</si>
  <si>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</si>
  <si>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</si>
  <si>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</si>
  <si>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</si>
  <si>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</si>
  <si>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</si>
  <si>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</si>
  <si>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</si>
  <si>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</si>
  <si>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</si>
  <si>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</si>
  <si>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</si>
  <si>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</si>
  <si>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</si>
  <si>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</si>
  <si>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</si>
  <si>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</si>
  <si>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</si>
  <si>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</si>
  <si>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</si>
  <si>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</si>
  <si>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</si>
  <si>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</si>
  <si>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</si>
  <si>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</si>
  <si>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</si>
  <si>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</si>
  <si>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</si>
  <si>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</si>
  <si>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</si>
  <si>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</si>
  <si>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</si>
  <si>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</si>
  <si>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</si>
  <si>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</si>
  <si>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</si>
  <si>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</si>
  <si>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</si>
  <si>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</si>
  <si>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</si>
  <si>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</si>
  <si>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</si>
  <si>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</si>
  <si>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</si>
  <si>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</si>
  <si>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</si>
  <si>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</si>
  <si>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</si>
  <si>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</si>
  <si>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</si>
  <si>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</si>
  <si>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</si>
  <si>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</si>
  <si>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</si>
  <si>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</si>
  <si>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</si>
  <si>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</si>
  <si>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</si>
  <si>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</si>
  <si>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</si>
  <si>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</si>
  <si>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</si>
  <si>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</si>
  <si>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</si>
  <si>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</si>
  <si>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</si>
  <si>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</si>
  <si>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</si>
  <si>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</si>
  <si>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</si>
  <si>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</si>
  <si>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</si>
  <si>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</si>
  <si>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</si>
  <si>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</si>
  <si>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</si>
  <si>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</si>
  <si>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</si>
  <si>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</si>
  <si>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</si>
  <si>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</si>
  <si>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</si>
  <si>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</si>
  <si>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</si>
  <si>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</si>
  <si>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</si>
  <si>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</si>
  <si>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</si>
  <si>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</si>
  <si>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</si>
  <si>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</si>
  <si>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</si>
  <si>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</si>
  <si>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</si>
  <si>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</si>
  <si>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</si>
  <si>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</si>
  <si>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</si>
  <si>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</si>
  <si>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</si>
  <si>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</si>
  <si>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</si>
  <si>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</si>
  <si>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</si>
  <si>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</si>
  <si>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</si>
  <si>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</si>
  <si>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</si>
  <si>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</si>
  <si>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</si>
  <si>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</si>
  <si>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</si>
  <si>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</si>
  <si>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</si>
  <si>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</si>
  <si>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</si>
  <si>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</si>
  <si>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</si>
  <si>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</si>
  <si>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</si>
  <si>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</si>
  <si>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</si>
  <si>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</si>
  <si>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</si>
  <si>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</si>
  <si>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</si>
  <si>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</si>
  <si>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</si>
  <si>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</si>
  <si>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</si>
  <si>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</si>
  <si>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</si>
  <si>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</si>
  <si>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</si>
  <si>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</si>
  <si>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</si>
  <si>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</si>
  <si>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</si>
  <si>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</si>
  <si>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</si>
  <si>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</si>
  <si>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</si>
  <si>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</si>
  <si>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</si>
  <si>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</si>
  <si>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</si>
  <si>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</si>
  <si>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</si>
  <si>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</si>
  <si>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</si>
  <si>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</si>
  <si>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</si>
  <si>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</si>
  <si>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</si>
  <si>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</si>
  <si>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</si>
  <si>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</si>
  <si>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</si>
  <si>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</si>
  <si>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</si>
  <si>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</si>
  <si>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</si>
  <si>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</si>
  <si>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</si>
  <si>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</si>
  <si>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</si>
  <si>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</si>
  <si>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</si>
  <si>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</si>
  <si>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</si>
  <si>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</si>
  <si>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</si>
  <si>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</si>
  <si>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</si>
  <si>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</si>
  <si>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</si>
  <si>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</si>
  <si>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</si>
  <si>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</si>
  <si>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</si>
  <si>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</si>
  <si>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</si>
  <si>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</si>
  <si>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</si>
  <si>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</si>
  <si>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</si>
  <si>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</si>
  <si>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</si>
  <si>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</si>
  <si>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</si>
  <si>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</si>
  <si>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</si>
  <si>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</si>
  <si>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</si>
  <si>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</si>
  <si>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</si>
  <si>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</si>
  <si>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</si>
  <si>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</si>
  <si>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</si>
  <si>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</si>
  <si>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</si>
  <si>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</si>
  <si>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</si>
  <si>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</si>
  <si>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</si>
  <si>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</si>
  <si>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</si>
  <si>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</si>
  <si>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</si>
  <si>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</si>
  <si>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</si>
  <si>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</si>
  <si>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</si>
  <si>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</si>
  <si>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</si>
  <si>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</si>
  <si>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</si>
  <si>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</si>
  <si>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</si>
  <si>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</si>
  <si>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</si>
  <si>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</si>
  <si>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</si>
  <si>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</si>
  <si>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</si>
  <si>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</si>
  <si>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</si>
  <si>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</si>
  <si>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</si>
  <si>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</si>
  <si>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</si>
  <si>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</si>
  <si>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</si>
  <si>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</si>
  <si>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</si>
  <si>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</si>
  <si>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</si>
  <si>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</si>
  <si>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</si>
  <si>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</si>
  <si>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</si>
  <si>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</si>
  <si>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</si>
  <si>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</si>
  <si>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</si>
  <si>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</si>
  <si>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</si>
  <si>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</si>
  <si>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</si>
  <si>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</si>
  <si>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</si>
  <si>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</si>
  <si>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</si>
  <si>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</si>
  <si>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</si>
  <si>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</si>
  <si>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</si>
  <si>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</si>
  <si>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</si>
  <si>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</si>
  <si>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</si>
  <si>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</si>
  <si>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</si>
  <si>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</si>
  <si>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</si>
  <si>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</si>
  <si>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</si>
  <si>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</si>
  <si>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</si>
  <si>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</si>
  <si>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</si>
  <si>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</si>
  <si>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</si>
  <si>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</si>
  <si>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</si>
  <si>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</si>
  <si>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</si>
  <si>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</si>
  <si>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</si>
  <si>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</si>
  <si>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</si>
  <si>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</si>
  <si>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</si>
  <si>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</si>
  <si>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</si>
  <si>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</si>
  <si>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</si>
  <si>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</si>
  <si>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</si>
  <si>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</si>
  <si>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</si>
  <si>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</si>
  <si>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</si>
  <si>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</si>
  <si>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</si>
  <si>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</si>
  <si>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</si>
  <si>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</si>
  <si>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</si>
  <si>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</si>
  <si>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</si>
  <si>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</si>
  <si>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</si>
  <si>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</si>
  <si>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</si>
  <si>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</si>
  <si>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</si>
  <si>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</si>
  <si>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</si>
  <si>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</si>
  <si>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</si>
  <si>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</si>
  <si>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</si>
  <si>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</si>
  <si>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</si>
  <si>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</si>
  <si>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</si>
  <si>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</si>
  <si>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</si>
  <si>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</si>
  <si>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</si>
  <si>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</si>
  <si>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</si>
  <si>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</si>
  <si>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</si>
  <si>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</si>
  <si>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</si>
  <si>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</si>
  <si>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</si>
  <si>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</si>
  <si>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</si>
  <si>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</si>
  <si>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</si>
  <si>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</si>
  <si>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</si>
  <si>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</si>
  <si>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</si>
  <si>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</si>
  <si>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</si>
  <si>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</si>
  <si>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</si>
  <si>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</si>
  <si>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</si>
  <si>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</si>
  <si>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</si>
  <si>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</si>
  <si>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</si>
  <si>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</si>
  <si>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</si>
  <si>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</si>
  <si>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</si>
  <si>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</si>
  <si>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</si>
  <si>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</si>
  <si>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</si>
  <si>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</si>
  <si>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</si>
  <si>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</si>
  <si>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</si>
  <si>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</si>
  <si>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</si>
  <si>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</si>
  <si>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</si>
  <si>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</si>
  <si>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</si>
  <si>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</si>
  <si>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</si>
  <si>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</si>
  <si>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</si>
  <si>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</si>
  <si>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</si>
  <si>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</si>
  <si>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</si>
  <si>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</si>
  <si>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</si>
  <si>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</si>
  <si>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</si>
  <si>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</si>
  <si>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</si>
  <si>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</si>
  <si>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</si>
  <si>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</si>
  <si>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</si>
  <si>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</si>
  <si>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</si>
  <si>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</si>
  <si>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</si>
  <si>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</si>
  <si>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</si>
  <si>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</si>
  <si>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</si>
  <si>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</si>
  <si>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</si>
  <si>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</si>
  <si>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</si>
  <si>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</si>
  <si>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</si>
  <si>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</si>
  <si>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</si>
  <si>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</si>
  <si>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</si>
  <si>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</si>
  <si>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</si>
  <si>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</si>
  <si>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</si>
  <si>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</si>
  <si>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</si>
  <si>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</si>
  <si>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</si>
  <si>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</si>
  <si>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</si>
  <si>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</si>
  <si>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</si>
  <si>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</si>
  <si>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</si>
  <si>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</si>
  <si>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</si>
  <si>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</si>
  <si>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</si>
  <si>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</si>
  <si>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</si>
  <si>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</si>
  <si>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</si>
  <si>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</si>
  <si>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</si>
  <si>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</si>
  <si>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</si>
  <si>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</si>
  <si>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</si>
  <si>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</si>
  <si>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</si>
  <si>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</si>
  <si>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</si>
  <si>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</si>
  <si>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</si>
  <si>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</si>
  <si>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</si>
  <si>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</si>
  <si>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</si>
  <si>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</si>
  <si>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</si>
  <si>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</si>
  <si>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</si>
  <si>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</si>
  <si>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</si>
  <si>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</si>
  <si>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</si>
  <si>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</si>
  <si>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</si>
  <si>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</si>
  <si>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</si>
  <si>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</si>
  <si>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</si>
  <si>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</si>
  <si>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</si>
  <si>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</si>
  <si>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</si>
  <si>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</si>
  <si>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</si>
  <si>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</si>
  <si>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</si>
  <si>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</si>
  <si>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</si>
  <si>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</si>
  <si>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</si>
  <si>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</si>
  <si>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</si>
  <si>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</si>
  <si>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</si>
  <si>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</si>
  <si>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</si>
  <si>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</si>
  <si>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</si>
  <si>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</si>
  <si>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</si>
  <si>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</si>
  <si>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</si>
  <si>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</si>
  <si>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</si>
  <si>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</si>
  <si>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</si>
  <si>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</si>
  <si>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</si>
  <si>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</si>
  <si>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</si>
  <si>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</si>
  <si>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</si>
  <si>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</si>
  <si>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</si>
  <si>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</si>
  <si>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</si>
  <si>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</si>
  <si>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</si>
  <si>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</si>
  <si>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</si>
  <si>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</si>
  <si>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</si>
  <si>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</si>
  <si>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</si>
  <si>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</si>
  <si>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</si>
  <si>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</si>
  <si>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</si>
  <si>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</si>
  <si>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</si>
  <si>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</si>
  <si>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</si>
  <si>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</si>
  <si>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</si>
  <si>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</si>
  <si>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</si>
  <si>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</si>
  <si>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</si>
  <si>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</si>
  <si>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</si>
  <si>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</si>
  <si>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</si>
  <si>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</si>
  <si>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</si>
  <si>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</si>
  <si>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</si>
  <si>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</si>
  <si>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</si>
  <si>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</si>
  <si>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</si>
  <si>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</si>
  <si>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</si>
  <si>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</si>
  <si>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</si>
  <si>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</si>
  <si>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</si>
  <si>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</si>
  <si>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</si>
  <si>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</si>
  <si>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</si>
  <si>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</si>
  <si>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</si>
  <si>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</si>
  <si>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</si>
  <si>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</si>
  <si>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</si>
  <si>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</si>
  <si>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</si>
  <si>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</si>
  <si>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</si>
  <si>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</si>
  <si>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</si>
  <si>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</si>
  <si>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</si>
  <si>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</si>
  <si>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</si>
  <si>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</si>
  <si>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</si>
  <si>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</si>
  <si>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</si>
  <si>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</si>
  <si>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</si>
  <si>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</si>
  <si>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</si>
  <si>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</si>
  <si>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</si>
  <si>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</si>
  <si>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</si>
  <si>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</si>
  <si>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</si>
  <si>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</si>
  <si>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</si>
  <si>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</si>
  <si>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</si>
  <si>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</si>
  <si>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</si>
  <si>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</si>
  <si>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</si>
  <si>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</si>
  <si>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</si>
  <si>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</si>
  <si>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</si>
  <si>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</si>
  <si>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</si>
  <si>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</si>
  <si>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</si>
  <si>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</si>
  <si>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</si>
  <si>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</si>
  <si>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</si>
  <si>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</si>
  <si>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</si>
  <si>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</si>
  <si>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</si>
  <si>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</si>
  <si>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</si>
  <si>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</si>
  <si>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</si>
  <si>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</si>
  <si>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</si>
  <si>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</si>
  <si>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</si>
  <si>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</si>
  <si>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</si>
  <si>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</si>
  <si>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</si>
  <si>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</si>
  <si>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</si>
  <si>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</si>
  <si>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</si>
  <si>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</si>
  <si>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</si>
  <si>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</si>
  <si>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</si>
  <si>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</si>
  <si>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</si>
  <si>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</si>
  <si>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</si>
  <si>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</si>
  <si>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</si>
  <si>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</si>
  <si>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</si>
  <si>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</si>
  <si>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</si>
  <si>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</si>
  <si>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</si>
  <si>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</si>
  <si>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</si>
  <si>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</si>
  <si>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</si>
  <si>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</si>
  <si>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</si>
  <si>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</si>
  <si>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</si>
  <si>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</si>
  <si>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</si>
  <si>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</si>
  <si>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</si>
  <si>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</si>
  <si>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</si>
  <si>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</si>
  <si>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</si>
  <si>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</si>
  <si>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</si>
  <si>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</si>
  <si>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</si>
  <si>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</si>
  <si>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</si>
  <si>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</si>
  <si>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</si>
  <si>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</si>
  <si>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</si>
  <si>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</si>
  <si>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</si>
  <si>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</si>
  <si>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</si>
  <si>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</si>
  <si>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</si>
  <si>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</si>
  <si>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</si>
  <si>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</si>
  <si>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</si>
  <si>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</si>
  <si>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</si>
  <si>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</si>
  <si>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</si>
  <si>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</si>
  <si>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</si>
  <si>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</si>
  <si>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</si>
  <si>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</si>
  <si>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</si>
  <si>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</si>
  <si>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</si>
  <si>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</si>
  <si>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</si>
  <si>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</si>
  <si>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</si>
  <si>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</si>
  <si>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</si>
  <si>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</si>
  <si>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</si>
  <si>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</si>
  <si>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</si>
  <si>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</si>
  <si>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</si>
  <si>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</si>
  <si>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</si>
  <si>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</si>
  <si>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</si>
  <si>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</si>
  <si>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</si>
  <si>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</si>
  <si>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</si>
  <si>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</si>
  <si>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</si>
  <si>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</si>
  <si>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</si>
  <si>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</si>
  <si>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</si>
  <si>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</si>
  <si>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</si>
  <si>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</si>
  <si>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</si>
  <si>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</si>
  <si>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</si>
  <si>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</si>
  <si>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</si>
  <si>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</si>
  <si>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</si>
  <si>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</si>
  <si>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</si>
  <si>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</si>
  <si>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</si>
  <si>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</si>
  <si>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</si>
  <si>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</si>
  <si>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</si>
  <si>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</si>
  <si>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</si>
  <si>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</si>
  <si>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</si>
  <si>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</si>
  <si>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</si>
  <si>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</si>
  <si>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</si>
  <si>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</si>
  <si>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</si>
  <si>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</si>
  <si>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</si>
  <si>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</si>
  <si>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</si>
  <si>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</si>
  <si>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</si>
  <si>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</si>
  <si>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</si>
  <si>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</si>
  <si>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</si>
  <si>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</si>
  <si>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</si>
  <si>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</si>
  <si>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</si>
  <si>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</si>
  <si>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</si>
  <si>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</si>
  <si>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</si>
  <si>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</si>
  <si>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</si>
  <si>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</si>
  <si>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</si>
  <si>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</si>
  <si>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</si>
  <si>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</si>
  <si>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</si>
  <si>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</si>
  <si>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</si>
  <si>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</si>
  <si>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</si>
  <si>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</si>
  <si>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</si>
  <si>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</si>
  <si>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</si>
  <si>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</si>
  <si>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</si>
  <si>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</si>
  <si>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</si>
  <si>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</si>
  <si>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</si>
  <si>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</si>
  <si>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</si>
  <si>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</si>
  <si>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</si>
  <si>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</si>
  <si>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</si>
  <si>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</si>
  <si>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</si>
  <si>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</si>
  <si>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</si>
  <si>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</si>
  <si>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</si>
  <si>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</si>
  <si>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</si>
  <si>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</si>
  <si>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</si>
  <si>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</si>
  <si>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</si>
  <si>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</si>
  <si>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</si>
  <si>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</si>
  <si>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</si>
  <si>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</si>
  <si>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</si>
  <si>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</si>
  <si>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</si>
  <si>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</si>
  <si>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</si>
  <si>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</si>
  <si>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</si>
  <si>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</si>
  <si>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</si>
  <si>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</si>
  <si>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</si>
  <si>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</si>
  <si>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</si>
  <si>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</si>
  <si>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</si>
  <si>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</si>
  <si>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</si>
  <si>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</si>
  <si>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</si>
  <si>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</si>
  <si>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</si>
  <si>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</si>
  <si>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</si>
  <si>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</si>
  <si>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</si>
  <si>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</si>
  <si>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</si>
  <si>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</si>
  <si>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</si>
  <si>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</si>
  <si>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</si>
  <si>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</si>
  <si>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</si>
  <si>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</si>
  <si>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</si>
  <si>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</si>
  <si>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</si>
  <si>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</si>
  <si>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</si>
  <si>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</si>
  <si>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</si>
  <si>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</si>
  <si>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</si>
  <si>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</si>
  <si>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</si>
  <si>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</si>
  <si>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</si>
  <si>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</si>
  <si>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</si>
  <si>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</si>
  <si>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</si>
  <si>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</si>
  <si>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</si>
  <si>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</si>
  <si>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</si>
  <si>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</si>
  <si>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</si>
  <si>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</si>
  <si>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</si>
  <si>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</si>
  <si>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</si>
  <si>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</si>
  <si>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</si>
  <si>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</si>
  <si>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</si>
  <si>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</si>
  <si>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</si>
  <si>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</si>
  <si>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</si>
  <si>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</si>
  <si>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</si>
  <si>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</si>
  <si>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</si>
  <si>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</si>
  <si>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</si>
  <si>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</si>
  <si>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</si>
  <si>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</si>
  <si>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</si>
  <si>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</si>
  <si>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</si>
  <si>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</si>
  <si>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</si>
  <si>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</si>
  <si>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</si>
  <si>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</si>
  <si>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</si>
  <si>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</si>
  <si>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</si>
  <si>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</si>
  <si>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</si>
  <si>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</si>
  <si>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</si>
  <si>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</si>
  <si>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</si>
  <si>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</si>
  <si>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</si>
  <si>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</si>
  <si>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</si>
  <si>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</si>
  <si>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</si>
  <si>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</si>
  <si>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</si>
  <si>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</si>
  <si>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</si>
  <si>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</si>
  <si>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</si>
  <si>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</si>
  <si>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</si>
  <si>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</si>
  <si>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</si>
  <si>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</si>
  <si>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</si>
  <si>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</si>
  <si>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</si>
  <si>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</si>
  <si>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</si>
  <si>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</si>
  <si>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</si>
  <si>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</si>
  <si>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</si>
  <si>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</si>
  <si>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</si>
  <si>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</si>
  <si>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</si>
  <si>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</si>
  <si>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</si>
  <si>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</si>
  <si>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</si>
  <si>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</si>
  <si>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</si>
  <si>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</si>
  <si>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</si>
  <si>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</si>
  <si>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</si>
  <si>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</si>
  <si>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</si>
  <si>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</si>
  <si>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</si>
  <si>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</si>
  <si>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</si>
  <si>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</si>
  <si>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</si>
  <si>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</si>
  <si>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</si>
  <si>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</si>
  <si>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</si>
  <si>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</si>
  <si>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</si>
  <si>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</si>
  <si>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</si>
  <si>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</si>
  <si>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</si>
  <si>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</si>
  <si>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</si>
  <si>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</si>
  <si>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</si>
  <si>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</si>
  <si>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</si>
  <si>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</si>
  <si>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</si>
  <si>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</si>
  <si>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</si>
  <si>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</si>
  <si>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</si>
  <si>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</si>
  <si>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</si>
  <si>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</si>
  <si>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</si>
  <si>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</si>
  <si>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</si>
  <si>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</si>
  <si>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</si>
  <si>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</si>
  <si>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</si>
  <si>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</si>
  <si>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</si>
  <si>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</si>
  <si>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</si>
  <si>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</si>
  <si>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</si>
  <si>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</si>
  <si>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</si>
  <si>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</si>
  <si>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</si>
  <si>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</si>
  <si>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</si>
  <si>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</si>
  <si>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</si>
  <si>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</si>
  <si>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</si>
  <si>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</si>
  <si>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</si>
  <si>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</si>
  <si>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</si>
  <si>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</si>
  <si>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</si>
  <si>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</si>
  <si>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</si>
  <si>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</si>
  <si>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</si>
  <si>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</si>
  <si>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</si>
  <si>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</si>
  <si>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</si>
  <si>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</si>
  <si>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</si>
  <si>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</si>
  <si>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</si>
  <si>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</si>
  <si>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</si>
  <si>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</si>
  <si>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</si>
  <si>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</si>
  <si>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</si>
  <si>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</si>
  <si>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</si>
  <si>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</si>
  <si>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</si>
  <si>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</si>
  <si>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</si>
  <si>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</si>
  <si>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</si>
  <si>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</si>
  <si>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</si>
  <si>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</si>
  <si>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</si>
  <si>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</si>
  <si>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</si>
  <si>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</si>
  <si>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</si>
  <si>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</si>
  <si>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</si>
  <si>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</si>
  <si>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</si>
  <si>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</si>
  <si>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</si>
  <si>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</si>
  <si>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</si>
  <si>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</si>
  <si>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</si>
  <si>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</si>
  <si>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</si>
  <si>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</si>
  <si>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</si>
  <si>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</si>
  <si>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</si>
  <si>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</si>
  <si>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</si>
  <si>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</si>
  <si>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</si>
  <si>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</si>
  <si>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</si>
  <si>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</si>
  <si>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</si>
  <si>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</si>
  <si>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</si>
  <si>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</si>
  <si>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</si>
  <si>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</si>
  <si>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</si>
  <si>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</si>
  <si>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</si>
  <si>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</si>
  <si>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</si>
  <si>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</si>
  <si>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</si>
  <si>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</si>
  <si>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</si>
  <si>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</si>
  <si>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</si>
  <si>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</si>
  <si>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</si>
  <si>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</si>
  <si>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</si>
  <si>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</si>
  <si>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</si>
  <si>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</si>
  <si>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</si>
  <si>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</si>
  <si>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</si>
  <si>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</si>
  <si>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</si>
  <si>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</si>
  <si>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</si>
  <si>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</si>
  <si>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</si>
  <si>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</si>
  <si>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</si>
  <si>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</si>
  <si>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</si>
  <si>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</si>
  <si>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</si>
  <si>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</si>
  <si>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</si>
  <si>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</si>
  <si>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</si>
  <si>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</si>
  <si>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</si>
  <si>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</si>
  <si>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</si>
  <si>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</si>
  <si>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</si>
  <si>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</si>
  <si>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</si>
  <si>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</si>
  <si>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</si>
  <si>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</si>
  <si>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</si>
  <si>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</si>
  <si>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</si>
  <si>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</si>
  <si>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</si>
  <si>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</si>
  <si>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</si>
  <si>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</si>
  <si>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</si>
  <si>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</si>
  <si>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</si>
  <si>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</si>
  <si>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</si>
  <si>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</si>
  <si>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</si>
  <si>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</si>
  <si>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</si>
  <si>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</si>
  <si>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</si>
  <si>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</si>
  <si>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</si>
  <si>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</si>
  <si>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</si>
  <si>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</si>
  <si>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</si>
  <si>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</si>
  <si>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</si>
  <si>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365</t>
  </si>
  <si>
    <t>2022-11-11 15:23:10</t>
  </si>
  <si>
    <t>2022-11-11 15:23:11</t>
  </si>
  <si>
    <t>261</t>
  </si>
  <si>
    <t>2022-11-11 15:23:12</t>
  </si>
  <si>
    <t>2022-11-11 15:23:13</t>
  </si>
  <si>
    <t>357</t>
  </si>
  <si>
    <t>2022-11-11 15:23:14</t>
  </si>
  <si>
    <t>235</t>
  </si>
  <si>
    <t>2022-11-11 15:23:15</t>
  </si>
  <si>
    <t>308</t>
  </si>
  <si>
    <t>2022-11-11 15:23:16</t>
  </si>
  <si>
    <t>159</t>
  </si>
  <si>
    <t>2022-11-11 15:23:17</t>
  </si>
  <si>
    <t>425</t>
  </si>
  <si>
    <t>2022-11-11 15:23:18</t>
  </si>
  <si>
    <t>204</t>
  </si>
  <si>
    <t>2022-11-11 15:23:19</t>
  </si>
  <si>
    <t>379</t>
  </si>
  <si>
    <t>2022-11-11 15:23:20</t>
  </si>
  <si>
    <t>2022-11-11 15:23:21</t>
  </si>
  <si>
    <t>299</t>
  </si>
  <si>
    <t>2022-11-11 15:23:22</t>
  </si>
  <si>
    <t>2022-11-11 15:23:23</t>
  </si>
  <si>
    <t>416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</si>
  <si>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</si>
  <si>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</si>
  <si>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</si>
  <si>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</si>
  <si>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</si>
  <si>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</si>
  <si>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</si>
  <si>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</si>
  <si>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</si>
  <si>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</si>
  <si>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</si>
  <si>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</si>
  <si>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</si>
  <si>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</si>
  <si>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</si>
  <si>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</si>
  <si>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</si>
  <si>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</si>
  <si>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</si>
  <si>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422</t>
  </si>
  <si>
    <t>2022-11-11 15:26:09</t>
  </si>
  <si>
    <t>2022-11-11 15:26:10</t>
  </si>
  <si>
    <t>2022-11-11 15:26:11</t>
  </si>
  <si>
    <t>2022-11-11 15:26:12</t>
  </si>
  <si>
    <t>195</t>
  </si>
  <si>
    <t>2022-11-11 15:26:13</t>
  </si>
  <si>
    <t>2022-11-11 15:26:14</t>
  </si>
  <si>
    <t>193</t>
  </si>
  <si>
    <t>2022-11-11 15:26:15</t>
  </si>
  <si>
    <t>2022-11-11 15:26:16</t>
  </si>
  <si>
    <t>419</t>
  </si>
  <si>
    <t>2022-11-11 15:26:17</t>
  </si>
  <si>
    <t>445</t>
  </si>
  <si>
    <t>2022-11-11 15:26:18</t>
  </si>
  <si>
    <t>403</t>
  </si>
  <si>
    <t>2022-11-11 15:26:19</t>
  </si>
  <si>
    <t>270</t>
  </si>
  <si>
    <t>2022-11-11 15:26:20</t>
  </si>
  <si>
    <t>155</t>
  </si>
  <si>
    <t>2022-11-11 15:26:21</t>
  </si>
  <si>
    <t>2022-11-11 15:26:22</t>
  </si>
  <si>
    <t>207</t>
  </si>
  <si>
    <t>2022-11-11 15:26:23</t>
  </si>
  <si>
    <t>350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</si>
  <si>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</si>
  <si>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</si>
  <si>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</si>
  <si>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</si>
  <si>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</si>
  <si>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</si>
  <si>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238</t>
  </si>
  <si>
    <t>2022-11-11 15:26:30</t>
  </si>
  <si>
    <t>386</t>
  </si>
  <si>
    <t>2022-11-11 15:26:31</t>
  </si>
  <si>
    <t>2022-11-11 15:26:32</t>
  </si>
  <si>
    <t>2022-11-11 15:26:33</t>
  </si>
  <si>
    <t>329</t>
  </si>
  <si>
    <t>2022-11-11 15:26:34</t>
  </si>
  <si>
    <t>2022-11-11 15:26:35</t>
  </si>
  <si>
    <t>426</t>
  </si>
  <si>
    <t>2022-11-11 15:26:36</t>
  </si>
  <si>
    <t>183</t>
  </si>
  <si>
    <t>2022-11-11 15:26:37</t>
  </si>
  <si>
    <t>205</t>
  </si>
  <si>
    <t>2022-11-11 15:26:38</t>
  </si>
  <si>
    <t>352</t>
  </si>
  <si>
    <t>2022-11-11 15:26:39</t>
  </si>
  <si>
    <t>372</t>
  </si>
  <si>
    <t>2022-11-11 15:26:40</t>
  </si>
  <si>
    <t>420</t>
  </si>
  <si>
    <t>2022-11-11 15:26:41</t>
  </si>
  <si>
    <t>2022-11-11 15:26:42</t>
  </si>
  <si>
    <t>389</t>
  </si>
  <si>
    <t>2022-11-11 15:26:43</t>
  </si>
  <si>
    <t>2022-11-11 15:26:44</t>
  </si>
  <si>
    <t>339</t>
  </si>
  <si>
    <t>2022-11-11 15:26:45</t>
  </si>
  <si>
    <t>427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</si>
  <si>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</si>
  <si>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</si>
  <si>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</si>
  <si>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</si>
  <si>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</si>
  <si>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</si>
  <si>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</si>
  <si>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</si>
  <si>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</si>
  <si>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</si>
  <si>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</si>
  <si>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</si>
  <si>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</si>
  <si>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</si>
  <si>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</si>
  <si>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</si>
  <si>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</si>
  <si>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</si>
  <si>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</si>
  <si>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</si>
  <si>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</si>
  <si>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</si>
  <si>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</si>
  <si>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</si>
  <si>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</si>
  <si>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</si>
  <si>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</si>
  <si>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</si>
  <si>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</si>
  <si>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</si>
  <si>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</si>
  <si>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</si>
  <si>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</si>
  <si>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</si>
  <si>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</si>
  <si>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</si>
  <si>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</si>
  <si>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387</t>
  </si>
  <si>
    <t>2022-11-11 15:32:55</t>
  </si>
  <si>
    <t>2022-11-11 15:32:56</t>
  </si>
  <si>
    <t>395</t>
  </si>
  <si>
    <t>2022-11-11 15:32:57</t>
  </si>
  <si>
    <t>242</t>
  </si>
  <si>
    <t>2022-11-11 15:32:58</t>
  </si>
  <si>
    <t>2022-11-11 15:32:59</t>
  </si>
  <si>
    <t>369</t>
  </si>
  <si>
    <t>2022-11-11 15:33:00</t>
  </si>
  <si>
    <t>2022-11-11 15:33:01</t>
  </si>
  <si>
    <t>2022-11-11 15:33:02</t>
  </si>
  <si>
    <t>2022-11-11 15:33:03</t>
  </si>
  <si>
    <t>264</t>
  </si>
  <si>
    <t>2022-11-11 15:33:04</t>
  </si>
  <si>
    <t>370</t>
  </si>
  <si>
    <t>2022-11-11 15:33:05</t>
  </si>
  <si>
    <t>236</t>
  </si>
  <si>
    <t>2022-11-11 15:33:06</t>
  </si>
  <si>
    <t>375</t>
  </si>
  <si>
    <t>2022-11-11 15:33:07</t>
  </si>
  <si>
    <t>279</t>
  </si>
  <si>
    <t>2022-11-11 15:33:08</t>
  </si>
  <si>
    <t>239</t>
  </si>
  <si>
    <t>2022-11-11 15:33:09</t>
  </si>
  <si>
    <t>2022-11-11 15:33:10</t>
  </si>
  <si>
    <t>405</t>
  </si>
  <si>
    <t>2022-11-11 15:33:11</t>
  </si>
  <si>
    <t>434</t>
  </si>
  <si>
    <t>2022-11-11 15:33:12</t>
  </si>
  <si>
    <t>2022-11-11 15:33:13</t>
  </si>
  <si>
    <t>290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</si>
  <si>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</si>
  <si>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</si>
  <si>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</si>
  <si>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</si>
  <si>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</si>
  <si>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</si>
  <si>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</si>
  <si>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</si>
  <si>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</si>
  <si>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</si>
  <si>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</si>
  <si>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</si>
  <si>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</si>
  <si>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</si>
  <si>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</si>
  <si>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</si>
  <si>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</si>
  <si>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</si>
  <si>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</si>
  <si>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</si>
  <si>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</si>
  <si>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</si>
  <si>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</si>
  <si>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</si>
  <si>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</si>
  <si>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</si>
  <si>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</si>
  <si>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</si>
  <si>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</si>
  <si>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</si>
  <si>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</si>
  <si>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</si>
  <si>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</si>
  <si>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</si>
  <si>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</si>
  <si>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</si>
  <si>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</si>
  <si>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</si>
  <si>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</si>
  <si>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</si>
  <si>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</si>
  <si>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</si>
  <si>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</si>
  <si>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</si>
  <si>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</si>
  <si>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</si>
  <si>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</si>
  <si>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</si>
  <si>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</si>
  <si>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</si>
  <si>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</si>
  <si>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</si>
  <si>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</si>
  <si>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</si>
  <si>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</si>
  <si>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</si>
  <si>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</si>
  <si>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</si>
  <si>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</si>
  <si>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</si>
  <si>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</si>
  <si>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</si>
  <si>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</si>
  <si>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</si>
  <si>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</si>
  <si>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</si>
  <si>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</si>
  <si>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</si>
  <si>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</si>
  <si>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</si>
  <si>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</si>
  <si>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</si>
  <si>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</si>
  <si>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</si>
  <si>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</si>
  <si>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</si>
  <si>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</si>
  <si>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</si>
  <si>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</si>
  <si>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</si>
  <si>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</si>
  <si>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</si>
  <si>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</si>
  <si>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</si>
  <si>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</si>
  <si>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</si>
  <si>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</si>
  <si>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</si>
  <si>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</si>
  <si>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</si>
  <si>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</si>
  <si>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</si>
  <si>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</si>
  <si>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</si>
  <si>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</si>
  <si>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</si>
  <si>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</si>
  <si>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</si>
  <si>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</si>
  <si>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</si>
  <si>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</si>
  <si>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</si>
  <si>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</si>
  <si>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</si>
  <si>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</si>
  <si>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</si>
  <si>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</si>
  <si>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</si>
  <si>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</si>
  <si>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</si>
  <si>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</si>
  <si>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</si>
  <si>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</si>
  <si>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</si>
  <si>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</si>
  <si>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</si>
  <si>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</si>
  <si>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</si>
  <si>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</si>
  <si>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</si>
  <si>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</si>
  <si>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</si>
  <si>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</si>
  <si>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</si>
  <si>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</si>
  <si>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</si>
  <si>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</si>
  <si>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</si>
  <si>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</si>
  <si>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</si>
  <si>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</si>
  <si>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</si>
  <si>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</si>
  <si>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</si>
  <si>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</si>
  <si>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</si>
  <si>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</si>
  <si>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</si>
  <si>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</si>
  <si>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</si>
  <si>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</si>
  <si>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</si>
  <si>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</si>
  <si>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</si>
  <si>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</si>
  <si>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</si>
  <si>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</si>
  <si>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</si>
  <si>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</si>
  <si>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</si>
  <si>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</si>
  <si>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</si>
  <si>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</si>
  <si>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</si>
  <si>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</si>
  <si>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</si>
  <si>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</si>
  <si>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</si>
  <si>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</si>
  <si>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</si>
  <si>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</si>
  <si>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</si>
  <si>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306</t>
  </si>
  <si>
    <t>2022-11-11 15:36:59</t>
  </si>
  <si>
    <t>366</t>
  </si>
  <si>
    <t>2022-11-11 15:37:00</t>
  </si>
  <si>
    <t>186</t>
  </si>
  <si>
    <t>2022-11-11 15:37:01</t>
  </si>
  <si>
    <t>2022-11-11 15:37:02</t>
  </si>
  <si>
    <t>402</t>
  </si>
  <si>
    <t>2022-11-11 15:37:03</t>
  </si>
  <si>
    <t>429</t>
  </si>
  <si>
    <t>2022-11-11 15:37:04</t>
  </si>
  <si>
    <t>411</t>
  </si>
  <si>
    <t>2022-11-11 15:37:05</t>
  </si>
  <si>
    <t>325</t>
  </si>
  <si>
    <t>2022-11-11 15:37:06</t>
  </si>
  <si>
    <t>287</t>
  </si>
  <si>
    <t>2022-11-11 15:37:07</t>
  </si>
  <si>
    <t>351</t>
  </si>
  <si>
    <t>2022-11-11 15:37:08</t>
  </si>
  <si>
    <t>214</t>
  </si>
  <si>
    <t>2022-11-11 15:37:09</t>
  </si>
  <si>
    <t>317</t>
  </si>
  <si>
    <t>2022-11-11 15:37:10</t>
  </si>
  <si>
    <t>249</t>
  </si>
  <si>
    <t>2022-11-11 15:37:11</t>
  </si>
  <si>
    <t>371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</si>
  <si>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</si>
  <si>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</si>
  <si>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</si>
  <si>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</si>
  <si>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</si>
  <si>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</si>
  <si>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</si>
  <si>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</si>
  <si>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</si>
  <si>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215</t>
  </si>
  <si>
    <t>2022-11-11 15:38:15</t>
  </si>
  <si>
    <t>2022-11-11 15:38:16</t>
  </si>
  <si>
    <t>2022-11-11 15:38:17</t>
  </si>
  <si>
    <t>320</t>
  </si>
  <si>
    <t>2022-11-11 15:38:18</t>
  </si>
  <si>
    <t>269</t>
  </si>
  <si>
    <t>2022-11-11 15:38:19</t>
  </si>
  <si>
    <t>2022-11-11 15:38:20</t>
  </si>
  <si>
    <t>251</t>
  </si>
  <si>
    <t>2022-11-11 15:38:21</t>
  </si>
  <si>
    <t>2022-11-11 15:38:22</t>
  </si>
  <si>
    <t>218</t>
  </si>
  <si>
    <t>2022-11-11 15:38:23</t>
  </si>
  <si>
    <t>272</t>
  </si>
  <si>
    <t>2022-11-11 15:38:24</t>
  </si>
  <si>
    <t>382</t>
  </si>
  <si>
    <t>2022-11-11 15:38:25</t>
  </si>
  <si>
    <t>2022-11-11 15:38:26</t>
  </si>
  <si>
    <t>2022-11-11 15:38:27</t>
  </si>
  <si>
    <t>2022-11-11 15:38:28</t>
  </si>
  <si>
    <t>2022-11-11 15:38:29</t>
  </si>
  <si>
    <t>436</t>
  </si>
  <si>
    <t>2022-11-11 15:38:30</t>
  </si>
  <si>
    <t>253</t>
  </si>
  <si>
    <t>2022-11-11 15:38:31</t>
  </si>
  <si>
    <t>2022-11-11 15:38:32</t>
  </si>
  <si>
    <t>2022-11-11 15:38:33</t>
  </si>
  <si>
    <t>2022-11-11 15:38:34</t>
  </si>
  <si>
    <t>206</t>
  </si>
  <si>
    <t>2022-11-11 15:38:35</t>
  </si>
  <si>
    <t>297</t>
  </si>
  <si>
    <t>2022-11-11 15:38:36</t>
  </si>
  <si>
    <t>2022-11-11 15:38:37</t>
  </si>
  <si>
    <t>2022-11-11 15:38:38</t>
  </si>
  <si>
    <t>282</t>
  </si>
  <si>
    <t>2022-11-11 15:38:39</t>
  </si>
  <si>
    <t>2022-11-11 15:38:40</t>
  </si>
  <si>
    <t>203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</si>
  <si>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</si>
  <si>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</si>
  <si>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</si>
  <si>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</si>
  <si>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</si>
  <si>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</si>
  <si>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</si>
  <si>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</si>
  <si>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</si>
  <si>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</si>
  <si>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</si>
  <si>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</si>
  <si>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374</t>
  </si>
  <si>
    <t>2022-11-11 15:38:53</t>
  </si>
  <si>
    <t>2022-11-11 15:38:54</t>
  </si>
  <si>
    <t>2022-11-11 15:38:55</t>
  </si>
  <si>
    <t>380</t>
  </si>
  <si>
    <t>2022-11-11 15:38:56</t>
  </si>
  <si>
    <t>2022-11-11 15:38:57</t>
  </si>
  <si>
    <t>393</t>
  </si>
  <si>
    <t>2022-11-11 15:38:58</t>
  </si>
  <si>
    <t>2022-11-11 15:38:59</t>
  </si>
  <si>
    <t>307</t>
  </si>
  <si>
    <t>2022-11-11 15:39:00</t>
  </si>
  <si>
    <t>2022-11-11 15:39:01</t>
  </si>
  <si>
    <t>2022-11-11 15:39:02</t>
  </si>
  <si>
    <t>331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</si>
  <si>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</si>
  <si>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</si>
  <si>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</si>
  <si>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</si>
  <si>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</si>
  <si>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</si>
  <si>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</si>
  <si>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</si>
  <si>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</si>
  <si>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</si>
  <si>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</si>
  <si>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</si>
  <si>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</si>
  <si>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</si>
  <si>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</si>
  <si>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</si>
  <si>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</si>
  <si>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</si>
  <si>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</si>
  <si>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</si>
  <si>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</si>
  <si>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</si>
  <si>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</si>
  <si>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</si>
  <si>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</si>
  <si>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</si>
  <si>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</si>
  <si>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</si>
  <si>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</si>
  <si>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</si>
  <si>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</si>
  <si>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</si>
  <si>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</si>
  <si>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</si>
  <si>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</si>
  <si>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</si>
  <si>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</si>
  <si>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</si>
  <si>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</si>
  <si>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</si>
  <si>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</si>
  <si>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</si>
  <si>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</si>
  <si>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</si>
  <si>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</si>
  <si>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</si>
  <si>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</si>
  <si>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</si>
  <si>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</si>
  <si>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</si>
  <si>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</si>
  <si>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</si>
  <si>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</si>
  <si>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</si>
  <si>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</si>
  <si>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</si>
  <si>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</si>
  <si>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</si>
  <si>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</si>
  <si>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</si>
  <si>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</si>
  <si>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</si>
  <si>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</si>
  <si>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</si>
  <si>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</si>
  <si>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</si>
  <si>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</si>
  <si>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</si>
  <si>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</si>
  <si>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</si>
  <si>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</si>
  <si>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</si>
  <si>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</si>
  <si>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</si>
  <si>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</si>
  <si>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</si>
  <si>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</si>
  <si>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</si>
  <si>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175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</si>
  <si>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</si>
  <si>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</si>
  <si>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</si>
  <si>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</si>
  <si>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</si>
  <si>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</si>
  <si>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</si>
  <si>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</si>
  <si>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</si>
  <si>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</si>
  <si>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</si>
  <si>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</si>
  <si>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</si>
  <si>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</si>
  <si>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</si>
  <si>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</si>
  <si>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</si>
  <si>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</si>
  <si>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</si>
  <si>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</si>
  <si>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</si>
  <si>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</si>
  <si>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</si>
  <si>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</si>
  <si>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</si>
  <si>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</si>
  <si>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</si>
  <si>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</si>
  <si>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</si>
  <si>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</si>
  <si>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</si>
  <si>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</si>
  <si>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</si>
  <si>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</si>
  <si>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</si>
  <si>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</si>
  <si>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</si>
  <si>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</si>
  <si>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</si>
  <si>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</si>
  <si>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</si>
  <si>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</si>
  <si>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</si>
  <si>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</si>
  <si>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</si>
  <si>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</si>
  <si>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</si>
  <si>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</si>
  <si>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</si>
  <si>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</si>
  <si>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</si>
  <si>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</si>
  <si>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</si>
  <si>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</si>
  <si>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</si>
  <si>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</si>
  <si>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</si>
  <si>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</si>
  <si>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</si>
  <si>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</si>
  <si>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</si>
  <si>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410</t>
  </si>
  <si>
    <t>2022-11-11 15:41:31</t>
  </si>
  <si>
    <t>2022-11-11 15:41:32</t>
  </si>
  <si>
    <t>167</t>
  </si>
  <si>
    <t>2022-11-11 15:41:33</t>
  </si>
  <si>
    <t>437</t>
  </si>
  <si>
    <t>2022-11-11 15:41:34</t>
  </si>
  <si>
    <t>362</t>
  </si>
  <si>
    <t>2022-11-11 15:41:35</t>
  </si>
  <si>
    <t>2022-11-11 15:41:36</t>
  </si>
  <si>
    <t>255</t>
  </si>
  <si>
    <t>2022-11-11 15:41:37</t>
  </si>
  <si>
    <t>2022-11-11 15:41:38</t>
  </si>
  <si>
    <t>447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</si>
  <si>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</si>
  <si>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</si>
  <si>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</si>
  <si>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</si>
  <si>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</si>
  <si>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</si>
  <si>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</si>
  <si>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</si>
  <si>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</si>
  <si>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</si>
  <si>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442</t>
  </si>
  <si>
    <t>2022-11-11 15:41:49</t>
  </si>
  <si>
    <t>2022-11-11 15:41:50</t>
  </si>
  <si>
    <t>2022-11-11 15:41:51</t>
  </si>
  <si>
    <t>189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</si>
  <si>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</si>
  <si>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</si>
  <si>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</si>
  <si>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</si>
  <si>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</si>
  <si>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</si>
  <si>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</si>
  <si>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</si>
  <si>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</si>
  <si>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</si>
  <si>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</si>
  <si>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</si>
  <si>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</si>
  <si>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</si>
  <si>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</si>
  <si>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</si>
  <si>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</si>
  <si>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</si>
  <si>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</si>
  <si>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</si>
  <si>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</si>
  <si>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</si>
  <si>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</si>
  <si>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</si>
  <si>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390</t>
  </si>
  <si>
    <t>2022-11-11 15:45:33</t>
  </si>
  <si>
    <t>2022-11-11 15:45:34</t>
  </si>
  <si>
    <t>2022-11-11 15:45:35</t>
  </si>
  <si>
    <t>256</t>
  </si>
  <si>
    <t>2022-11-11 15:45:36</t>
  </si>
  <si>
    <t>2022-11-11 15:45:37</t>
  </si>
  <si>
    <t>225</t>
  </si>
  <si>
    <t>2022-11-11 15:45:38</t>
  </si>
  <si>
    <t>2022-11-11 15:45:39</t>
  </si>
  <si>
    <t>2022-11-11 15:45:40</t>
  </si>
  <si>
    <t>2022-11-11 15:45:41</t>
  </si>
  <si>
    <t>415</t>
  </si>
  <si>
    <t>2022-11-11 15:45:42</t>
  </si>
  <si>
    <t>292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</si>
  <si>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</si>
  <si>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</si>
  <si>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</si>
  <si>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</si>
  <si>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</si>
  <si>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</si>
  <si>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</si>
  <si>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</si>
  <si>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</si>
  <si>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</si>
  <si>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</si>
  <si>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</si>
  <si>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</si>
  <si>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</si>
  <si>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</si>
  <si>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</si>
  <si>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</si>
  <si>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</si>
  <si>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</si>
  <si>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</si>
  <si>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</si>
  <si>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</si>
  <si>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</si>
  <si>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</si>
  <si>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</si>
  <si>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</si>
  <si>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</si>
  <si>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</si>
  <si>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</si>
  <si>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</si>
  <si>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</si>
  <si>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</si>
  <si>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</si>
  <si>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</si>
  <si>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</si>
  <si>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</si>
  <si>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</si>
  <si>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</si>
  <si>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</si>
  <si>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</si>
  <si>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</si>
  <si>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</si>
  <si>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</si>
  <si>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</si>
  <si>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</si>
  <si>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</si>
  <si>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</si>
  <si>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</si>
  <si>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</si>
  <si>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</si>
  <si>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</si>
  <si>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</si>
  <si>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</si>
  <si>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</si>
  <si>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</si>
  <si>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</si>
  <si>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</si>
  <si>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</si>
  <si>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</si>
  <si>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</si>
  <si>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291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</si>
  <si>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</si>
  <si>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</si>
  <si>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</si>
  <si>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</si>
  <si>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</si>
  <si>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</si>
  <si>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</si>
  <si>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</si>
  <si>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</si>
  <si>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</si>
  <si>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</si>
  <si>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</si>
  <si>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</si>
  <si>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</si>
  <si>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</si>
  <si>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</si>
  <si>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</si>
  <si>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</si>
  <si>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</si>
  <si>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</si>
  <si>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</si>
  <si>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</si>
  <si>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</si>
  <si>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</si>
  <si>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</si>
  <si>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</si>
  <si>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</si>
  <si>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</si>
  <si>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</si>
  <si>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</si>
  <si>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</si>
  <si>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</si>
  <si>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</si>
  <si>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</si>
  <si>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</si>
  <si>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</si>
  <si>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</si>
  <si>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</si>
  <si>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</si>
  <si>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</si>
  <si>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</si>
  <si>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</si>
  <si>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</si>
  <si>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</si>
  <si>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</si>
  <si>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</si>
  <si>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</si>
  <si>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</si>
  <si>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</si>
  <si>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</si>
  <si>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</si>
  <si>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</si>
  <si>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</si>
  <si>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</si>
  <si>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</si>
  <si>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</si>
  <si>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</si>
  <si>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</si>
  <si>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</si>
  <si>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</si>
  <si>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</si>
  <si>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</si>
  <si>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</si>
  <si>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</si>
  <si>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</si>
  <si>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</si>
  <si>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</si>
  <si>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</si>
  <si>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</si>
  <si>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</si>
  <si>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</si>
  <si>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</si>
  <si>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</si>
  <si>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</si>
  <si>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</si>
  <si>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</si>
  <si>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</si>
  <si>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</si>
  <si>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</si>
  <si>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</si>
  <si>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</si>
  <si>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</si>
  <si>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</si>
  <si>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</si>
  <si>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</si>
  <si>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</si>
  <si>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</si>
  <si>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</si>
  <si>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</si>
  <si>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</si>
  <si>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</si>
  <si>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</si>
  <si>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</si>
  <si>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</si>
  <si>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</si>
  <si>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</si>
  <si>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</si>
  <si>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</si>
  <si>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</si>
  <si>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</si>
  <si>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</si>
  <si>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</si>
  <si>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</si>
  <si>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</si>
  <si>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</si>
  <si>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</si>
  <si>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</si>
  <si>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</si>
  <si>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</si>
  <si>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</si>
  <si>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</si>
  <si>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</si>
  <si>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</si>
  <si>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</si>
  <si>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</si>
  <si>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</si>
  <si>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</si>
  <si>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</si>
  <si>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</si>
  <si>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</si>
  <si>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</si>
  <si>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</si>
  <si>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</si>
  <si>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</si>
  <si>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</si>
  <si>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</si>
  <si>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</si>
  <si>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</si>
  <si>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</si>
  <si>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</si>
  <si>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</si>
  <si>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</si>
  <si>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</si>
  <si>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</si>
  <si>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</si>
  <si>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</si>
  <si>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</si>
  <si>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</si>
  <si>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</si>
  <si>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</si>
  <si>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</si>
  <si>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</si>
  <si>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</si>
  <si>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</si>
  <si>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</si>
  <si>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</si>
  <si>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</si>
  <si>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</si>
  <si>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</si>
  <si>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</si>
  <si>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</si>
  <si>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</si>
  <si>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</si>
  <si>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</si>
  <si>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</si>
  <si>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</si>
  <si>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</si>
  <si>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</si>
  <si>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</si>
  <si>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</si>
  <si>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</si>
  <si>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</si>
  <si>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</si>
  <si>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</si>
  <si>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</si>
  <si>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</si>
  <si>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</si>
  <si>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</si>
  <si>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</si>
  <si>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</si>
  <si>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</si>
  <si>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</si>
  <si>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</si>
  <si>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</si>
  <si>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</si>
  <si>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</si>
  <si>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</si>
  <si>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</si>
  <si>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</si>
  <si>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</si>
  <si>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</si>
  <si>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</si>
  <si>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</si>
  <si>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</si>
  <si>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</si>
  <si>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</si>
  <si>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</si>
  <si>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</si>
  <si>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</si>
  <si>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</si>
  <si>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</si>
  <si>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</si>
  <si>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</si>
  <si>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</si>
  <si>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</si>
  <si>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</si>
  <si>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</si>
  <si>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</si>
  <si>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</si>
  <si>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</si>
  <si>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</si>
  <si>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</si>
  <si>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</si>
  <si>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</si>
  <si>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</si>
  <si>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</si>
  <si>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</si>
  <si>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</si>
  <si>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</si>
  <si>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</si>
  <si>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</si>
  <si>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</si>
  <si>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</si>
  <si>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</si>
  <si>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</si>
  <si>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</si>
  <si>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</si>
  <si>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</si>
  <si>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</si>
  <si>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</si>
  <si>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</si>
  <si>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</si>
  <si>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</si>
  <si>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</si>
  <si>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</si>
  <si>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</si>
  <si>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</si>
  <si>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</si>
  <si>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</si>
  <si>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</si>
  <si>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</si>
  <si>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</si>
  <si>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</si>
  <si>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</si>
  <si>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</si>
  <si>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</si>
  <si>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</si>
  <si>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</si>
  <si>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</si>
  <si>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</si>
  <si>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</si>
  <si>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</si>
  <si>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</si>
  <si>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</si>
  <si>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</si>
  <si>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</si>
  <si>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</si>
  <si>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</si>
  <si>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</si>
  <si>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</si>
  <si>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</si>
  <si>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</si>
  <si>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</si>
  <si>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</si>
  <si>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</si>
  <si>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</si>
  <si>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</si>
  <si>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</si>
  <si>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</si>
  <si>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</si>
  <si>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</si>
  <si>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</si>
  <si>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</si>
  <si>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</si>
  <si>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</si>
  <si>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</si>
  <si>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</si>
  <si>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</si>
  <si>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</si>
  <si>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</si>
  <si>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</si>
  <si>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</si>
  <si>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</si>
  <si>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</si>
  <si>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</si>
  <si>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</si>
  <si>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</si>
  <si>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</si>
  <si>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</si>
  <si>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</si>
  <si>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</si>
  <si>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</si>
  <si>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</si>
  <si>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</si>
  <si>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</si>
  <si>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</si>
  <si>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</si>
  <si>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</si>
  <si>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</si>
  <si>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</si>
  <si>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</si>
  <si>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</si>
  <si>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</si>
  <si>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</si>
  <si>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</si>
  <si>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</si>
  <si>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</si>
  <si>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</si>
  <si>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</si>
  <si>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</si>
  <si>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</si>
  <si>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</si>
  <si>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</si>
  <si>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</si>
  <si>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</si>
  <si>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</si>
  <si>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</si>
  <si>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</si>
  <si>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</si>
  <si>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</si>
  <si>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</si>
  <si>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</si>
  <si>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</si>
  <si>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</si>
  <si>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</si>
  <si>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</si>
  <si>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</si>
  <si>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</si>
  <si>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</si>
  <si>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</si>
  <si>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</si>
  <si>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</si>
  <si>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</si>
  <si>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</si>
  <si>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</si>
  <si>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</si>
  <si>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</si>
  <si>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</si>
  <si>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</si>
  <si>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</si>
  <si>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</si>
  <si>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</si>
  <si>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</si>
  <si>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</si>
  <si>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</si>
  <si>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</si>
  <si>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</si>
  <si>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</si>
  <si>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</si>
  <si>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</si>
  <si>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</si>
  <si>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</si>
  <si>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</si>
  <si>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</si>
  <si>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</si>
  <si>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</si>
  <si>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</si>
  <si>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</si>
  <si>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</si>
  <si>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</si>
  <si>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</si>
  <si>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</si>
  <si>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</si>
  <si>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</si>
  <si>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</si>
  <si>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</si>
  <si>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</si>
  <si>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</si>
  <si>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</si>
  <si>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</si>
  <si>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</si>
  <si>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</si>
  <si>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</si>
  <si>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</si>
  <si>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</si>
  <si>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</si>
  <si>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</si>
  <si>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</si>
  <si>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</si>
  <si>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</si>
  <si>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</si>
  <si>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</si>
  <si>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</si>
  <si>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</si>
  <si>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</si>
  <si>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</si>
  <si>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</si>
  <si>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</si>
  <si>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</si>
  <si>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</si>
  <si>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</si>
  <si>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</si>
  <si>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</si>
  <si>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</si>
  <si>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</si>
  <si>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</si>
  <si>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</si>
  <si>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</si>
  <si>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</si>
  <si>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</si>
  <si>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</si>
  <si>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</si>
  <si>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</si>
  <si>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</si>
  <si>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</si>
  <si>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</si>
  <si>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</si>
  <si>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</si>
  <si>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</si>
  <si>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</si>
  <si>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</si>
  <si>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</si>
  <si>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</si>
  <si>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</si>
  <si>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</si>
  <si>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</si>
  <si>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</si>
  <si>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</si>
  <si>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</si>
  <si>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</si>
  <si>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</si>
  <si>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</si>
  <si>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</si>
  <si>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</si>
  <si>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</si>
  <si>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</si>
  <si>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</si>
  <si>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</si>
  <si>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</si>
  <si>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</si>
  <si>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</si>
  <si>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</si>
  <si>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346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</si>
  <si>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</si>
  <si>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</si>
  <si>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</si>
  <si>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</si>
  <si>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</si>
  <si>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</si>
  <si>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</si>
  <si>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</si>
  <si>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240</t>
  </si>
  <si>
    <t>2022-11-11 15:54:00</t>
  </si>
  <si>
    <t>430</t>
  </si>
  <si>
    <t>2022-11-11 15:54:01</t>
  </si>
  <si>
    <t>2022-11-11 15:54:02</t>
  </si>
  <si>
    <t>2022-11-11 15:54:03</t>
  </si>
  <si>
    <t>300</t>
  </si>
  <si>
    <t>2022-11-11 15:54:04</t>
  </si>
  <si>
    <t>2022-11-11 15:54:05</t>
  </si>
  <si>
    <t>2022-11-11 15:54:06</t>
  </si>
  <si>
    <t>265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</si>
  <si>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</si>
  <si>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</si>
  <si>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</si>
  <si>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</si>
  <si>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</si>
  <si>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</si>
  <si>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</si>
  <si>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</si>
  <si>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</si>
  <si>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</si>
  <si>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</si>
  <si>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</si>
  <si>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</si>
  <si>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</si>
  <si>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</si>
  <si>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</si>
  <si>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</si>
  <si>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</si>
  <si>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</si>
  <si>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</si>
  <si>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</si>
  <si>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</si>
  <si>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</si>
  <si>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</si>
  <si>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</si>
  <si>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</si>
  <si>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</si>
  <si>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</si>
  <si>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</si>
  <si>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</si>
  <si>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</si>
  <si>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</si>
  <si>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</si>
  <si>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</si>
  <si>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</si>
  <si>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</si>
  <si>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</si>
  <si>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</si>
  <si>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210</t>
  </si>
  <si>
    <t>2022-11-11 15:54:45</t>
  </si>
  <si>
    <t>2022-11-11 15:54:46</t>
  </si>
  <si>
    <t>2022-11-11 15:54:47</t>
  </si>
  <si>
    <t>2022-11-11 15:54:48</t>
  </si>
  <si>
    <t>228</t>
  </si>
  <si>
    <t>2022-11-11 15:54:49</t>
  </si>
  <si>
    <t>2022-11-11 15:54:50</t>
  </si>
  <si>
    <t>423</t>
  </si>
  <si>
    <t>2022-11-11 15:54:51</t>
  </si>
  <si>
    <t>2022-11-11 15:54:52</t>
  </si>
  <si>
    <t>2022-11-11 15:54:53</t>
  </si>
  <si>
    <t>2022-11-11 15:54:54</t>
  </si>
  <si>
    <t>441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</si>
  <si>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</si>
  <si>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</si>
  <si>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</si>
  <si>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</si>
  <si>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</si>
  <si>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</si>
  <si>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</si>
  <si>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</si>
  <si>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</si>
  <si>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</si>
  <si>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</si>
  <si>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</si>
  <si>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</si>
  <si>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</si>
  <si>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</si>
  <si>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</si>
  <si>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</si>
  <si>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</si>
  <si>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</si>
  <si>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</si>
  <si>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</si>
  <si>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</si>
  <si>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</si>
  <si>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</si>
  <si>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</si>
  <si>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</si>
  <si>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</si>
  <si>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</si>
  <si>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</si>
  <si>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</si>
  <si>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</si>
  <si>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</si>
  <si>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</si>
  <si>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</si>
  <si>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</si>
  <si>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</si>
  <si>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</si>
  <si>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</si>
  <si>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</si>
  <si>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</si>
  <si>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</si>
  <si>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</si>
  <si>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</si>
  <si>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</si>
  <si>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</si>
  <si>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</si>
  <si>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</si>
  <si>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</si>
  <si>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</si>
  <si>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439</t>
  </si>
  <si>
    <t>2022-11-11 15:55:44</t>
  </si>
  <si>
    <t>354</t>
  </si>
  <si>
    <t>2022-11-11 15:55:45</t>
  </si>
  <si>
    <t>2022-11-11 15:55:46</t>
  </si>
  <si>
    <t>421</t>
  </si>
  <si>
    <t>2022-11-11 15:55:47</t>
  </si>
  <si>
    <t>2022-11-11 15:55:48</t>
  </si>
  <si>
    <t>315</t>
  </si>
  <si>
    <t>2022-11-11 15:55:49</t>
  </si>
  <si>
    <t>2022-11-11 15:55:50</t>
  </si>
  <si>
    <t>2022-11-11 15:55:51</t>
  </si>
  <si>
    <t>179</t>
  </si>
  <si>
    <t>2022-11-11 15:55:52</t>
  </si>
  <si>
    <t>2022-11-11 15:55:53</t>
  </si>
  <si>
    <t>2022-11-11 15:55:54</t>
  </si>
  <si>
    <t>2022-11-11 15:55:55</t>
  </si>
  <si>
    <t>2022-11-11 15:55:56</t>
  </si>
  <si>
    <t>400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</si>
  <si>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</si>
  <si>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</si>
  <si>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</si>
  <si>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</si>
  <si>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</si>
  <si>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</si>
  <si>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</si>
  <si>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</si>
  <si>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</si>
  <si>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160</t>
  </si>
  <si>
    <t>2022-11-11 15:56:06</t>
  </si>
  <si>
    <t>168</t>
  </si>
  <si>
    <t>2022-11-11 15:56:07</t>
  </si>
  <si>
    <t>338</t>
  </si>
  <si>
    <t>2022-11-11 15:56:08</t>
  </si>
  <si>
    <t>2022-11-11 15:56:09</t>
  </si>
  <si>
    <t>2022-11-11 15:56:10</t>
  </si>
  <si>
    <t>156</t>
  </si>
  <si>
    <t>2022-11-11 15:56:11</t>
  </si>
  <si>
    <t>2022-11-11 15:56:12</t>
  </si>
  <si>
    <t>185</t>
  </si>
  <si>
    <t>2022-11-11 15:56:13</t>
  </si>
  <si>
    <t>2022-11-11 15:56:14</t>
  </si>
  <si>
    <t>428</t>
  </si>
  <si>
    <t>2022-11-11 15:56:15</t>
  </si>
  <si>
    <t>2022-11-11 15:56:16</t>
  </si>
  <si>
    <t>208</t>
  </si>
  <si>
    <t>2022-11-11 15:56:17</t>
  </si>
  <si>
    <t>2022-11-11 15:56:18</t>
  </si>
  <si>
    <t>216</t>
  </si>
  <si>
    <t>2022-11-11 15:56:19</t>
  </si>
  <si>
    <t>313</t>
  </si>
  <si>
    <t>2022-11-11 15:56:20</t>
  </si>
  <si>
    <t>2022-11-11 15:56:21</t>
  </si>
  <si>
    <t>2022-11-11 15:56:22</t>
  </si>
  <si>
    <t>2022-11-11 15:56:23</t>
  </si>
  <si>
    <t>443</t>
  </si>
  <si>
    <t>2022-11-11 15:56:24</t>
  </si>
  <si>
    <t>376</t>
  </si>
  <si>
    <t>2022-11-11 15:56:25</t>
  </si>
  <si>
    <t>2022-11-11 15:56:26</t>
  </si>
  <si>
    <t>2022-11-11 15:56:27</t>
  </si>
  <si>
    <t>276</t>
  </si>
  <si>
    <t>2022-11-11 15:56:28</t>
  </si>
  <si>
    <t>2022-11-11 15:56:29</t>
  </si>
  <si>
    <t>2022-11-11 15:56:30</t>
  </si>
  <si>
    <t>2022-11-11 15:56:31</t>
  </si>
  <si>
    <t>2022-11-11 15:56:32</t>
  </si>
  <si>
    <t>378</t>
  </si>
  <si>
    <t>2022-11-11 15:56:33</t>
  </si>
  <si>
    <t>2022-11-11 15:56:34</t>
  </si>
  <si>
    <t>2022-11-11 15:56:35</t>
  </si>
  <si>
    <t>172</t>
  </si>
  <si>
    <t>2022-11-11 15:56:36</t>
  </si>
  <si>
    <t>332</t>
  </si>
  <si>
    <t>2022-11-11 15:58:17</t>
  </si>
  <si>
    <t>165</t>
  </si>
  <si>
    <t>2022-11-11 15:58:18</t>
  </si>
  <si>
    <t>257</t>
  </si>
  <si>
    <t>2022-11-11 15:58:19</t>
  </si>
  <si>
    <t>2022-11-11 15:58:20</t>
  </si>
  <si>
    <t>2022-11-11 15:58:21</t>
  </si>
  <si>
    <t>254</t>
  </si>
  <si>
    <t>2022-11-11 15:58:22</t>
  </si>
  <si>
    <t>294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</si>
  <si>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</si>
  <si>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</si>
  <si>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</si>
  <si>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</si>
  <si>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</si>
  <si>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</si>
  <si>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</si>
  <si>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</si>
  <si>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355</t>
  </si>
  <si>
    <t>2022-11-11 15:58:31</t>
  </si>
  <si>
    <t>2022-11-11 15:58:32</t>
  </si>
  <si>
    <t>184</t>
  </si>
  <si>
    <t>2022-11-11 15:58:33</t>
  </si>
  <si>
    <t>2022-11-11 15:58:34</t>
  </si>
  <si>
    <t>267</t>
  </si>
  <si>
    <t>2022-11-11 15:58:35</t>
  </si>
  <si>
    <t>2022-11-11 15:58:36</t>
  </si>
  <si>
    <t>394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</si>
  <si>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</si>
  <si>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</si>
  <si>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</si>
  <si>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</si>
  <si>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</si>
  <si>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</si>
  <si>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</si>
  <si>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</si>
  <si>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162</t>
  </si>
  <si>
    <t>2022-11-11 16:03:25</t>
  </si>
  <si>
    <t>2022-11-11 16:03:26</t>
  </si>
  <si>
    <t>408</t>
  </si>
  <si>
    <t>2022-11-11 16:03:27</t>
  </si>
  <si>
    <t>2022-11-11 16:03:28</t>
  </si>
  <si>
    <t>316</t>
  </si>
  <si>
    <t>2022-11-11 16:03:29</t>
  </si>
  <si>
    <t>392</t>
  </si>
  <si>
    <t>2022-11-11 16:03:30</t>
  </si>
  <si>
    <t>268</t>
  </si>
  <si>
    <t>2022-11-11 16:03:31</t>
  </si>
  <si>
    <t>178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</si>
  <si>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</si>
  <si>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</si>
  <si>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</si>
  <si>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</si>
  <si>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</si>
  <si>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</si>
  <si>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</si>
  <si>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</si>
  <si>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</si>
  <si>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</si>
  <si>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289</t>
  </si>
  <si>
    <t>2022-11-11 16:03:42</t>
  </si>
  <si>
    <t>2022-11-11 16:03:43</t>
  </si>
  <si>
    <t>2022-11-11 16:03:44</t>
  </si>
  <si>
    <t>2022-11-11 16:03:45</t>
  </si>
  <si>
    <t>169</t>
  </si>
  <si>
    <t>2022-11-11 16:03:46</t>
  </si>
  <si>
    <t>304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</si>
  <si>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</si>
  <si>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</si>
  <si>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</si>
  <si>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</si>
  <si>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</si>
  <si>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</si>
  <si>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</si>
  <si>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</si>
  <si>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</si>
  <si>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</si>
  <si>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</si>
  <si>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</si>
  <si>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</si>
  <si>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</si>
  <si>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</si>
  <si>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</si>
  <si>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</si>
  <si>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</si>
  <si>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</si>
  <si>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</si>
  <si>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</si>
  <si>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</si>
  <si>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</si>
  <si>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</si>
  <si>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</si>
  <si>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</si>
  <si>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</si>
  <si>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</si>
  <si>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</si>
  <si>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</si>
  <si>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</si>
  <si>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</si>
  <si>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</si>
  <si>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</si>
  <si>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</si>
  <si>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391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</si>
  <si>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</si>
  <si>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</si>
  <si>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</si>
  <si>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</si>
  <si>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</si>
  <si>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</si>
  <si>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</si>
  <si>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</si>
  <si>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</si>
  <si>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337</t>
  </si>
  <si>
    <t>2022-11-11 16:04:31</t>
  </si>
  <si>
    <t>2022-11-11 16:04:32</t>
  </si>
  <si>
    <t>2022-11-11 16:04:33</t>
  </si>
  <si>
    <t>433</t>
  </si>
  <si>
    <t>2022-11-11 16:04:34</t>
  </si>
  <si>
    <t>363</t>
  </si>
  <si>
    <t>2022-11-11 16:04:35</t>
  </si>
  <si>
    <t>2022-11-11 16:04:36</t>
  </si>
  <si>
    <t>2022-11-11 16:04:37</t>
  </si>
  <si>
    <t>2022-11-11 16:04:38</t>
  </si>
  <si>
    <t>2022-11-11 16:04:39</t>
  </si>
  <si>
    <t>154</t>
  </si>
  <si>
    <t>2022-11-11 16:04:40</t>
  </si>
  <si>
    <t>353</t>
  </si>
  <si>
    <t>2022-11-11 16:04:41</t>
  </si>
  <si>
    <t>446</t>
  </si>
  <si>
    <t>2022-11-11 16:04:42</t>
  </si>
  <si>
    <t>151</t>
  </si>
  <si>
    <t>2022-11-11 16:04:43</t>
  </si>
  <si>
    <t>2022-11-11 16:04:44</t>
  </si>
  <si>
    <t>2022-11-11 16:04:45</t>
  </si>
  <si>
    <t>2022-11-11 16:04:46</t>
  </si>
  <si>
    <t>335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</si>
  <si>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</si>
  <si>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</si>
  <si>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</si>
  <si>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</si>
  <si>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</si>
  <si>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</si>
  <si>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</si>
  <si>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</si>
  <si>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</si>
  <si>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</si>
  <si>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</si>
  <si>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298</t>
  </si>
  <si>
    <t>2022-11-11 16:04:58</t>
  </si>
  <si>
    <t>2022-11-11 16:04:59</t>
  </si>
  <si>
    <t>2022-11-11 16:05:00</t>
  </si>
  <si>
    <t>177</t>
  </si>
  <si>
    <t>2022-11-11 16:05:01</t>
  </si>
  <si>
    <t>2022-11-11 16:05:02</t>
  </si>
  <si>
    <t>171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</si>
  <si>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</si>
  <si>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</si>
  <si>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</si>
  <si>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</si>
  <si>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</si>
  <si>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</si>
  <si>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360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</si>
  <si>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</si>
  <si>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</si>
  <si>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</si>
  <si>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</si>
  <si>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</si>
  <si>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</si>
  <si>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</si>
  <si>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</si>
  <si>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</si>
  <si>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</si>
  <si>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</si>
  <si>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</si>
  <si>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</si>
  <si>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</si>
  <si>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</si>
  <si>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</si>
  <si>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</si>
  <si>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</si>
  <si>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</si>
  <si>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</si>
  <si>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</si>
  <si>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</si>
  <si>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</si>
  <si>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</si>
  <si>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</si>
  <si>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</si>
  <si>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</si>
  <si>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</si>
  <si>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</si>
  <si>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</si>
  <si>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</t>
  </si>
  <si>
    <t>2022-11-11 16:05:39</t>
  </si>
  <si>
    <t>2022-11-11 16:05:40</t>
  </si>
  <si>
    <t>2022-11-11 16:05:41</t>
  </si>
  <si>
    <t>2022-11-11 16:05:42</t>
  </si>
  <si>
    <t>424</t>
  </si>
  <si>
    <t>2022-11-11 16:05:43</t>
  </si>
  <si>
    <t>373</t>
  </si>
  <si>
    <t>2022-11-11 16:05:44</t>
  </si>
  <si>
    <t>2022-11-11 16:05:45</t>
  </si>
  <si>
    <t>2022-11-11 16:05:46</t>
  </si>
  <si>
    <t>407</t>
  </si>
  <si>
    <t>2022-11-11 16:05:47</t>
  </si>
  <si>
    <t>311</t>
  </si>
  <si>
    <t>2022-11-11 16:05:48</t>
  </si>
  <si>
    <t>2022-11-11 16:05:49</t>
  </si>
  <si>
    <t>2022-11-11 16:05:50</t>
  </si>
  <si>
    <t>361</t>
  </si>
  <si>
    <t>2022-11-11 16:05:51</t>
  </si>
  <si>
    <t>2022-11-11 16:05:52</t>
  </si>
  <si>
    <t>233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</si>
  <si>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</si>
  <si>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</si>
  <si>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</si>
  <si>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</si>
  <si>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</si>
  <si>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</si>
  <si>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</si>
  <si>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</si>
  <si>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</si>
  <si>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</si>
  <si>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</si>
  <si>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</si>
  <si>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</si>
  <si>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</si>
  <si>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</si>
  <si>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</si>
  <si>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</si>
  <si>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</si>
  <si>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</si>
  <si>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</si>
  <si>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</si>
  <si>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</si>
  <si>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</si>
  <si>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</si>
  <si>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</si>
  <si>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</si>
  <si>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</si>
  <si>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</si>
  <si>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</si>
  <si>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</si>
  <si>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</si>
  <si>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</si>
  <si>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</si>
  <si>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</si>
  <si>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</si>
  <si>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</si>
  <si>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</si>
  <si>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</si>
  <si>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</si>
  <si>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</si>
  <si>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</si>
  <si>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</si>
  <si>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</si>
  <si>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</si>
  <si>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</si>
  <si>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</si>
  <si>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</si>
  <si>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</si>
  <si>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</si>
  <si>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</si>
  <si>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</si>
  <si>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</si>
  <si>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</si>
  <si>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</si>
  <si>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</si>
  <si>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</si>
  <si>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</si>
  <si>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</si>
  <si>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</si>
  <si>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</si>
  <si>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</si>
  <si>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</si>
  <si>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</si>
  <si>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</si>
  <si>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</si>
  <si>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</si>
  <si>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</si>
  <si>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</si>
  <si>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</si>
  <si>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</si>
  <si>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</si>
  <si>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</si>
  <si>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</si>
  <si>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</si>
  <si>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</si>
  <si>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</si>
  <si>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</si>
  <si>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</si>
  <si>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</si>
  <si>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</si>
  <si>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</si>
  <si>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</si>
  <si>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</si>
  <si>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</si>
  <si>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</si>
  <si>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333</t>
  </si>
  <si>
    <t>2022-11-11 16:07:18</t>
  </si>
  <si>
    <t>2022-11-11 16:07:19</t>
  </si>
  <si>
    <t>2022-11-11 16:07:20</t>
  </si>
  <si>
    <t>2022-11-11 16:07:21</t>
  </si>
  <si>
    <t>2022-11-11 16:07:22</t>
  </si>
  <si>
    <t>277</t>
  </si>
  <si>
    <t>2022-11-11 16:07:23</t>
  </si>
  <si>
    <t>2022-11-11 16:07:24</t>
  </si>
  <si>
    <t>166</t>
  </si>
  <si>
    <t>2022-11-11 16:07:25</t>
  </si>
  <si>
    <t>2022-11-11 16:07:26</t>
  </si>
  <si>
    <t>2022-11-11 16:07:27</t>
  </si>
  <si>
    <t>2022-11-11 16:07:28</t>
  </si>
  <si>
    <t>2022-11-11 16:07:29</t>
  </si>
  <si>
    <t>401</t>
  </si>
  <si>
    <t>2022-11-11 16:07:30</t>
  </si>
  <si>
    <t>2022-11-11 16:07:31</t>
  </si>
  <si>
    <t>2022-11-11 16:07:32</t>
  </si>
  <si>
    <t>182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</si>
  <si>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</si>
  <si>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</si>
  <si>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</si>
  <si>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</si>
  <si>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</si>
  <si>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</si>
  <si>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</si>
  <si>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</si>
  <si>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</si>
  <si>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</si>
  <si>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</si>
  <si>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221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</si>
  <si>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</si>
  <si>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</si>
  <si>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</si>
  <si>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</si>
  <si>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</si>
  <si>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</si>
  <si>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</si>
  <si>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</si>
  <si>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</si>
  <si>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</si>
  <si>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</si>
  <si>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</si>
  <si>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</si>
  <si>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</si>
  <si>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</si>
  <si>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</si>
  <si>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</si>
  <si>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</si>
  <si>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</si>
  <si>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</si>
  <si>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</si>
  <si>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</si>
  <si>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</si>
  <si>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</si>
  <si>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</si>
  <si>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</si>
  <si>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</si>
  <si>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</si>
  <si>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</si>
  <si>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</si>
  <si>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381</t>
  </si>
  <si>
    <t>2022-11-11 16:08:14</t>
  </si>
  <si>
    <t>343</t>
  </si>
  <si>
    <t>2022-11-11 16:08:15</t>
  </si>
  <si>
    <t>2022-11-11 16:08:16</t>
  </si>
  <si>
    <t>263</t>
  </si>
  <si>
    <t>2022-11-11 16:08:17</t>
  </si>
  <si>
    <t>2022-11-11 16:08:18</t>
  </si>
  <si>
    <t>2022-11-11 16:08:19</t>
  </si>
  <si>
    <t>2022-11-11 16:08:20</t>
  </si>
  <si>
    <t>192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</si>
  <si>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</si>
  <si>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</si>
  <si>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</si>
  <si>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</si>
  <si>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</si>
  <si>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</si>
  <si>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</si>
  <si>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</si>
  <si>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</si>
  <si>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</si>
  <si>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</si>
  <si>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</si>
  <si>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</si>
  <si>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</si>
  <si>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</si>
  <si>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</si>
  <si>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</si>
  <si>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</si>
  <si>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</si>
  <si>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</si>
  <si>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</si>
  <si>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</si>
  <si>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198</t>
  </si>
  <si>
    <t>2022-11-11 18:24:04</t>
  </si>
  <si>
    <t>2022-11-11 18:24:05</t>
  </si>
  <si>
    <t>250</t>
  </si>
  <si>
    <t>2022-11-11 18:24:06</t>
  </si>
  <si>
    <t>2022-11-11 18:24:07</t>
  </si>
  <si>
    <t>2022-11-11 18:29:58</t>
  </si>
  <si>
    <t>undefined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</si>
  <si>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</si>
  <si>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</si>
  <si>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</si>
  <si>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</si>
  <si>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</si>
  <si>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</si>
  <si>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</si>
  <si>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</si>
  <si>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</si>
  <si>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</si>
  <si>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</si>
  <si>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</si>
  <si>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</si>
  <si>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</si>
  <si>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</si>
  <si>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</si>
  <si>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</si>
  <si>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</si>
  <si>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</si>
  <si>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</si>
  <si>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</si>
  <si>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</si>
  <si>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</si>
  <si>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</si>
  <si>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</si>
  <si>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</si>
  <si>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</si>
  <si>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</si>
  <si>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</si>
  <si>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</si>
  <si>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</si>
  <si>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</si>
  <si>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</si>
  <si>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</si>
  <si>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</si>
  <si>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</si>
  <si>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</si>
  <si>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</si>
  <si>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</si>
  <si>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</si>
  <si>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</si>
  <si>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</si>
  <si>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</si>
  <si>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</si>
  <si>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</si>
  <si>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</si>
  <si>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</si>
  <si>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</si>
  <si>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</si>
  <si>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</si>
  <si>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</si>
  <si>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</si>
  <si>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</si>
  <si>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</si>
  <si>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</si>
  <si>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295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</si>
  <si>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</si>
  <si>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</si>
  <si>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</si>
  <si>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</si>
  <si>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</si>
  <si>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</si>
  <si>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</si>
  <si>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</si>
  <si>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</si>
  <si>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</si>
  <si>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</si>
  <si>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</si>
  <si>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</si>
  <si>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</si>
  <si>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</si>
  <si>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</si>
  <si>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</si>
  <si>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</si>
  <si>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</si>
  <si>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</si>
  <si>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280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</si>
  <si>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</si>
  <si>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</si>
  <si>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</si>
  <si>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</si>
  <si>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</si>
  <si>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</si>
  <si>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</si>
  <si>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</si>
  <si>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201</t>
  </si>
  <si>
    <t>2022-11-11 18:31:27</t>
  </si>
  <si>
    <t>2022-11-11 18:31:28</t>
  </si>
  <si>
    <t>217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</si>
  <si>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</si>
  <si>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</si>
  <si>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</si>
  <si>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</si>
  <si>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</si>
  <si>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</si>
  <si>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</si>
  <si>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</si>
  <si>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</si>
  <si>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</si>
  <si>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</si>
  <si>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</si>
  <si>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</si>
  <si>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</si>
  <si>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356</t>
  </si>
  <si>
    <t>2022-11-11 18:31:43</t>
  </si>
  <si>
    <t>2022-11-11 18:31:44</t>
  </si>
  <si>
    <t>2022-11-11 18:31:45</t>
  </si>
  <si>
    <t>2022-11-11 18:31:46</t>
  </si>
  <si>
    <t>2022-11-11 18:31:47</t>
  </si>
  <si>
    <t>359</t>
  </si>
  <si>
    <t>2022-11-11 18:31:48</t>
  </si>
  <si>
    <t>2022-11-11 18:31:49</t>
  </si>
  <si>
    <t>449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</si>
  <si>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</si>
  <si>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</si>
  <si>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</si>
  <si>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</si>
  <si>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</si>
  <si>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</si>
  <si>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</si>
  <si>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</si>
  <si>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278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</si>
  <si>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</si>
  <si>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</si>
  <si>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</si>
  <si>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</si>
  <si>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</si>
  <si>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</si>
  <si>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</si>
  <si>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</si>
  <si>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</si>
  <si>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</si>
  <si>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</si>
  <si>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</si>
  <si>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</si>
  <si>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</si>
  <si>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</si>
  <si>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</si>
  <si>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</si>
  <si>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</si>
  <si>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243</t>
  </si>
  <si>
    <t>2022-11-11 18:32:16</t>
  </si>
  <si>
    <t>284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</si>
  <si>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</si>
  <si>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</si>
  <si>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</si>
  <si>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</si>
  <si>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</si>
  <si>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</si>
  <si>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</si>
  <si>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</si>
  <si>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</si>
  <si>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</si>
  <si>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</si>
  <si>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</si>
  <si>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</si>
  <si>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</si>
  <si>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212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</si>
  <si>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</si>
  <si>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</si>
  <si>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</si>
  <si>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</si>
  <si>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</si>
  <si>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</si>
  <si>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</si>
  <si>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</si>
  <si>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</si>
  <si>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200</t>
  </si>
  <si>
    <t>2022-11-11 18:32:40</t>
  </si>
  <si>
    <t>310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</si>
  <si>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</si>
  <si>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</si>
  <si>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</si>
  <si>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</si>
  <si>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</si>
  <si>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</si>
  <si>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</si>
  <si>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</si>
  <si>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</si>
  <si>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199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</si>
  <si>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</si>
  <si>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</si>
  <si>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</si>
  <si>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</si>
  <si>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</si>
  <si>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</si>
  <si>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</si>
  <si>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</si>
  <si>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227</t>
  </si>
  <si>
    <t>2022-11-11 18:32:58</t>
  </si>
  <si>
    <t>2022-11-11 18:32:59</t>
  </si>
  <si>
    <t>2022-11-11 18:33:00</t>
  </si>
  <si>
    <t>2022-11-11 18:33:01</t>
  </si>
  <si>
    <t>187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</si>
  <si>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</si>
  <si>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</si>
  <si>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</si>
  <si>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</si>
  <si>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</si>
  <si>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</si>
  <si>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</si>
  <si>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409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</si>
  <si>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</si>
  <si>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</si>
  <si>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</si>
  <si>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</si>
  <si>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</si>
  <si>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</si>
  <si>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</si>
  <si>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</si>
  <si>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</si>
  <si>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</si>
  <si>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</si>
  <si>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</si>
  <si>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</si>
  <si>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</si>
  <si>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</si>
  <si>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</si>
  <si>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</si>
  <si>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</si>
  <si>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</si>
  <si>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</si>
  <si>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</si>
  <si>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</si>
  <si>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</si>
  <si>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</si>
  <si>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</si>
  <si>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</si>
  <si>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</si>
  <si>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</si>
  <si>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</si>
  <si>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</si>
  <si>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</si>
  <si>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</si>
  <si>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</si>
  <si>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</si>
  <si>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</si>
  <si>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</si>
  <si>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</si>
  <si>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</si>
  <si>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</si>
  <si>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</si>
  <si>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</si>
  <si>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</si>
  <si>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</si>
  <si>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</si>
  <si>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</si>
  <si>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</si>
  <si>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</si>
  <si>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</si>
  <si>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</si>
  <si>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</si>
  <si>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</si>
  <si>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</si>
  <si>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</si>
  <si>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</si>
  <si>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</si>
  <si>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</si>
  <si>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</si>
  <si>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</si>
  <si>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</si>
  <si>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</si>
  <si>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</si>
  <si>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</si>
  <si>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</si>
  <si>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</si>
  <si>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</si>
  <si>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</si>
  <si>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</si>
  <si>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</si>
  <si>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</si>
  <si>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</si>
  <si>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</si>
  <si>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</si>
  <si>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</si>
  <si>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</si>
  <si>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</si>
  <si>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</si>
  <si>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</si>
  <si>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</si>
  <si>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</si>
  <si>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</si>
  <si>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</si>
  <si>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</si>
  <si>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</si>
  <si>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</si>
  <si>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</si>
  <si>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</si>
  <si>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</si>
  <si>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</si>
  <si>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</si>
  <si>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</si>
  <si>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</si>
  <si>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</si>
  <si>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</si>
  <si>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</si>
  <si>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</si>
  <si>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</si>
  <si>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</si>
  <si>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</si>
  <si>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</si>
  <si>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</si>
  <si>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</si>
  <si>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</si>
  <si>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</si>
  <si>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</si>
  <si>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</si>
  <si>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</si>
  <si>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</si>
  <si>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</si>
  <si>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</si>
  <si>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</si>
  <si>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</si>
  <si>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</si>
  <si>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</si>
  <si>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</si>
  <si>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</si>
  <si>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</si>
  <si>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</si>
  <si>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</si>
  <si>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</si>
  <si>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</si>
  <si>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</si>
  <si>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176</t>
  </si>
  <si>
    <t>2022-11-11 18:35:34</t>
  </si>
  <si>
    <t>2022-11-11 18:35:35</t>
  </si>
  <si>
    <t>150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</si>
  <si>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</si>
  <si>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</si>
  <si>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</si>
  <si>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</si>
  <si>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</si>
  <si>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</si>
  <si>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</si>
  <si>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</si>
  <si>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</si>
  <si>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</si>
  <si>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</si>
  <si>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</si>
  <si>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</si>
  <si>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</si>
  <si>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</si>
  <si>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</si>
  <si>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</si>
  <si>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</si>
  <si>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</si>
  <si>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</si>
  <si>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</si>
  <si>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</si>
  <si>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</si>
  <si>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</si>
  <si>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</si>
  <si>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</si>
  <si>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</si>
  <si>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</si>
  <si>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</si>
  <si>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</si>
  <si>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</si>
  <si>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</si>
  <si>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</si>
  <si>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</si>
  <si>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</si>
  <si>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</si>
  <si>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</si>
  <si>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</si>
  <si>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</si>
  <si>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</si>
  <si>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</si>
  <si>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</si>
  <si>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</si>
  <si>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</si>
  <si>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</si>
  <si>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</si>
  <si>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</si>
  <si>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</si>
  <si>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</si>
  <si>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</si>
  <si>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</si>
  <si>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</si>
  <si>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</si>
  <si>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</si>
  <si>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</si>
  <si>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</si>
  <si>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</si>
  <si>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</si>
  <si>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</si>
  <si>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</si>
  <si>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</si>
  <si>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</si>
  <si>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</si>
  <si>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</si>
  <si>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</si>
  <si>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</si>
  <si>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</si>
  <si>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</si>
  <si>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</si>
  <si>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</si>
  <si>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</si>
  <si>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</si>
  <si>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</si>
  <si>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</si>
  <si>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</si>
  <si>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</si>
  <si>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</si>
  <si>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</si>
  <si>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</si>
  <si>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</si>
  <si>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</si>
  <si>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</si>
  <si>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</si>
  <si>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</si>
  <si>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</si>
  <si>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</si>
  <si>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</si>
  <si>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</si>
  <si>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</si>
  <si>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</si>
  <si>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</si>
  <si>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</si>
  <si>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</si>
  <si>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</si>
  <si>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</si>
  <si>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</si>
  <si>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</si>
  <si>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</si>
  <si>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</si>
  <si>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</si>
  <si>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</si>
  <si>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</si>
  <si>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</si>
  <si>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</si>
  <si>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</si>
  <si>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</si>
  <si>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</si>
  <si>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</si>
  <si>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</si>
  <si>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</si>
  <si>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</si>
  <si>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</si>
  <si>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</si>
  <si>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</si>
  <si>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</si>
  <si>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</si>
  <si>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</si>
  <si>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</si>
  <si>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</si>
  <si>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</si>
  <si>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</si>
  <si>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</si>
  <si>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</si>
  <si>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</si>
  <si>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</si>
  <si>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</si>
  <si>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</si>
  <si>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</si>
  <si>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</si>
  <si>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</si>
  <si>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</si>
  <si>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</si>
  <si>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</si>
  <si>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</si>
  <si>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</si>
  <si>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</si>
  <si>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</si>
  <si>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</si>
  <si>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</si>
  <si>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</si>
  <si>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</si>
  <si>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</si>
  <si>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</si>
  <si>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</si>
  <si>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</si>
  <si>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</si>
  <si>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</si>
  <si>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</si>
  <si>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</si>
  <si>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</si>
  <si>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</si>
  <si>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</si>
  <si>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</si>
  <si>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</si>
  <si>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</si>
  <si>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</si>
  <si>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</si>
  <si>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</si>
  <si>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</si>
  <si>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</si>
  <si>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</si>
  <si>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</si>
  <si>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</si>
  <si>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</si>
  <si>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</si>
  <si>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</si>
  <si>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</si>
  <si>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</si>
  <si>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</si>
  <si>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</si>
  <si>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</si>
  <si>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</si>
  <si>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</si>
  <si>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</si>
  <si>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</si>
  <si>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</si>
  <si>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</si>
  <si>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</si>
  <si>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</si>
  <si>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</si>
  <si>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</si>
  <si>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</si>
  <si>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</si>
  <si>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</si>
  <si>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</si>
  <si>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</si>
  <si>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</si>
  <si>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</si>
  <si>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</si>
  <si>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</si>
  <si>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</si>
  <si>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</si>
  <si>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</si>
  <si>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</si>
  <si>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</si>
  <si>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</si>
  <si>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</si>
  <si>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</si>
  <si>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</si>
  <si>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</si>
  <si>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</si>
  <si>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</si>
  <si>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</si>
  <si>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</si>
  <si>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</si>
  <si>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</si>
  <si>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</si>
  <si>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</si>
  <si>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</si>
  <si>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</si>
  <si>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</si>
  <si>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</si>
  <si>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</si>
  <si>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</si>
  <si>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</si>
  <si>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</si>
  <si>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</si>
  <si>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</si>
  <si>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</si>
  <si>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</si>
  <si>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</si>
  <si>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</si>
  <si>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</si>
  <si>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</si>
  <si>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</si>
  <si>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</si>
  <si>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</si>
  <si>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</si>
  <si>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</si>
  <si>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</si>
  <si>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</si>
  <si>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</si>
  <si>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</si>
  <si>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</si>
  <si>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</si>
  <si>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</si>
  <si>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</si>
  <si>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</si>
  <si>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</si>
  <si>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</si>
  <si>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</si>
  <si>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</si>
  <si>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</si>
  <si>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</si>
  <si>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</si>
  <si>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</si>
  <si>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</si>
  <si>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</si>
  <si>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</si>
  <si>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</si>
  <si>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</si>
  <si>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</si>
  <si>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</si>
  <si>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</si>
  <si>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</si>
  <si>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</si>
  <si>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</si>
  <si>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</si>
  <si>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</si>
  <si>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</si>
  <si>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</si>
  <si>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</si>
  <si>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</si>
  <si>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</si>
  <si>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</si>
  <si>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</si>
  <si>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</si>
  <si>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</si>
  <si>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</si>
  <si>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</si>
  <si>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</si>
  <si>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</si>
  <si>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</si>
  <si>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</si>
  <si>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</si>
  <si>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</si>
  <si>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</si>
  <si>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</si>
  <si>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</si>
  <si>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</si>
  <si>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</si>
  <si>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</si>
  <si>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</si>
  <si>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</si>
  <si>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</si>
  <si>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</si>
  <si>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</si>
  <si>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</si>
  <si>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</si>
  <si>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</si>
  <si>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</si>
  <si>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</si>
  <si>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</si>
  <si>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</si>
  <si>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</si>
  <si>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</si>
  <si>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</si>
  <si>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</si>
  <si>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</si>
  <si>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</si>
  <si>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</si>
  <si>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</si>
  <si>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</si>
  <si>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</si>
  <si>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</si>
  <si>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</si>
  <si>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</si>
  <si>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</si>
  <si>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</si>
  <si>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</si>
  <si>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</si>
  <si>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</si>
  <si>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</si>
  <si>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</si>
  <si>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</si>
  <si>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</si>
  <si>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</si>
  <si>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</si>
  <si>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</si>
  <si>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</si>
  <si>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</si>
  <si>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</si>
  <si>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</si>
  <si>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</si>
  <si>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</si>
  <si>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</si>
  <si>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</si>
  <si>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</si>
  <si>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</si>
  <si>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</si>
  <si>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</si>
  <si>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</si>
  <si>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</si>
  <si>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</si>
  <si>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</si>
  <si>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</si>
  <si>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</si>
  <si>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</si>
  <si>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</si>
  <si>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</si>
  <si>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</si>
  <si>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</si>
  <si>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</si>
  <si>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</si>
  <si>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</si>
  <si>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</si>
  <si>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</si>
  <si>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</si>
  <si>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</si>
  <si>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</si>
  <si>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</si>
  <si>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</si>
  <si>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</si>
  <si>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</si>
  <si>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</si>
  <si>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</si>
  <si>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</si>
  <si>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</si>
  <si>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</si>
  <si>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</si>
  <si>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</si>
  <si>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</si>
  <si>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</si>
  <si>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</si>
  <si>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</si>
  <si>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</si>
  <si>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</si>
  <si>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</si>
  <si>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</si>
  <si>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</si>
  <si>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</si>
  <si>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</si>
  <si>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</si>
  <si>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</si>
  <si>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</si>
  <si>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</si>
  <si>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</si>
  <si>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</si>
  <si>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</si>
  <si>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</si>
  <si>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</si>
  <si>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</si>
  <si>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</si>
  <si>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</si>
  <si>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</si>
  <si>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</si>
  <si>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</si>
  <si>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</si>
  <si>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</si>
  <si>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</si>
  <si>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</si>
  <si>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</si>
  <si>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</si>
  <si>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</si>
  <si>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</si>
  <si>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</si>
  <si>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</si>
  <si>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</si>
  <si>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</si>
  <si>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</si>
  <si>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</si>
  <si>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</si>
  <si>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</si>
  <si>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</si>
  <si>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</si>
  <si>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</si>
  <si>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</si>
  <si>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</si>
  <si>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</si>
  <si>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</si>
  <si>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</si>
  <si>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</si>
  <si>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</si>
  <si>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</si>
  <si>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</si>
  <si>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</si>
  <si>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</si>
  <si>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</si>
  <si>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</si>
  <si>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</si>
  <si>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</si>
  <si>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</si>
  <si>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</si>
  <si>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</si>
  <si>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</si>
  <si>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</si>
  <si>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</si>
  <si>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</si>
  <si>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</si>
  <si>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</si>
  <si>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</si>
  <si>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</si>
  <si>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</si>
  <si>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</si>
  <si>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</si>
  <si>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</si>
  <si>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</si>
  <si>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</si>
  <si>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</si>
  <si>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</si>
  <si>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</si>
  <si>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</si>
  <si>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</si>
  <si>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</si>
  <si>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</si>
  <si>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</si>
  <si>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</si>
  <si>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</si>
  <si>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</si>
  <si>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</si>
  <si>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</si>
  <si>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</si>
  <si>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</si>
  <si>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</si>
  <si>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</si>
  <si>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</si>
  <si>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</si>
  <si>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</si>
  <si>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</si>
  <si>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</si>
  <si>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</si>
  <si>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</si>
  <si>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</si>
  <si>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</si>
  <si>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</si>
  <si>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</si>
  <si>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</si>
  <si>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</si>
  <si>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</si>
  <si>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</si>
  <si>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</si>
  <si>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</si>
  <si>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</si>
  <si>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</si>
  <si>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</si>
  <si>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</si>
  <si>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</si>
  <si>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</si>
  <si>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</si>
  <si>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</si>
  <si>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</si>
  <si>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</si>
  <si>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</si>
  <si>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</si>
  <si>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</si>
  <si>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</si>
  <si>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</si>
  <si>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</si>
  <si>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</si>
  <si>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</si>
  <si>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</si>
  <si>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</si>
  <si>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</si>
  <si>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</si>
  <si>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</si>
  <si>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</si>
  <si>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</si>
  <si>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</si>
  <si>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</si>
  <si>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</si>
  <si>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</si>
  <si>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</si>
  <si>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</si>
  <si>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</si>
  <si>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</si>
  <si>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</si>
  <si>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</si>
  <si>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</si>
  <si>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</si>
  <si>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</si>
  <si>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</si>
  <si>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</si>
  <si>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</si>
  <si>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</si>
  <si>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</si>
  <si>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</si>
  <si>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</si>
  <si>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</si>
  <si>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</si>
  <si>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</si>
  <si>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</si>
  <si>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</si>
  <si>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</si>
  <si>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</si>
  <si>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</si>
  <si>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</si>
  <si>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</si>
  <si>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</si>
  <si>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</si>
  <si>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</si>
  <si>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</si>
  <si>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</si>
  <si>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</si>
  <si>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</si>
  <si>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</si>
  <si>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</si>
  <si>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</si>
  <si>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</si>
  <si>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</si>
  <si>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</si>
  <si>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</si>
  <si>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</si>
  <si>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</si>
  <si>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</si>
  <si>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</si>
  <si>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</si>
  <si>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</si>
  <si>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</si>
  <si>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</si>
  <si>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</si>
  <si>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</si>
  <si>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</si>
  <si>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</si>
  <si>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</si>
  <si>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</si>
  <si>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</si>
  <si>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</si>
  <si>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</si>
  <si>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</si>
  <si>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</si>
  <si>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</si>
  <si>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</si>
  <si>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</si>
  <si>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</si>
  <si>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</si>
  <si>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</si>
  <si>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</si>
  <si>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</si>
  <si>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</si>
  <si>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</si>
  <si>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</si>
  <si>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</si>
  <si>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</si>
  <si>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</si>
  <si>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</si>
  <si>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</si>
  <si>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</si>
  <si>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</si>
  <si>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</si>
  <si>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</si>
  <si>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</si>
  <si>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</si>
  <si>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</si>
  <si>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</si>
  <si>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</si>
  <si>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</si>
  <si>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</si>
  <si>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</si>
  <si>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</si>
  <si>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</si>
  <si>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</si>
  <si>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</si>
  <si>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</si>
  <si>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</si>
  <si>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</si>
  <si>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</si>
  <si>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</si>
  <si>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</si>
  <si>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</si>
  <si>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</si>
  <si>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</si>
  <si>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</si>
  <si>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</si>
  <si>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</si>
  <si>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</si>
  <si>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</si>
  <si>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</si>
  <si>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</si>
  <si>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</si>
  <si>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</si>
  <si>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</si>
  <si>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</si>
  <si>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</si>
  <si>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</si>
  <si>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</si>
  <si>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</si>
  <si>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</si>
  <si>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</si>
  <si>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</si>
  <si>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</si>
  <si>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</si>
  <si>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</si>
  <si>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</si>
  <si>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</si>
  <si>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</si>
  <si>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</si>
  <si>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</si>
  <si>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</si>
  <si>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</si>
  <si>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</si>
  <si>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</si>
  <si>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</si>
  <si>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</si>
  <si>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</si>
  <si>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</si>
  <si>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</si>
  <si>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</si>
  <si>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</si>
  <si>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</si>
  <si>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</si>
  <si>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</si>
  <si>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</si>
  <si>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</si>
  <si>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</si>
  <si>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</si>
  <si>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</si>
  <si>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</si>
  <si>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</si>
  <si>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</si>
  <si>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</si>
  <si>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</si>
  <si>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</si>
  <si>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</si>
  <si>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</si>
  <si>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</si>
  <si>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</si>
  <si>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</si>
  <si>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</si>
  <si>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</si>
  <si>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</si>
  <si>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</si>
  <si>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</si>
  <si>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</si>
  <si>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</si>
  <si>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</si>
  <si>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</si>
  <si>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</si>
  <si>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</si>
  <si>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</si>
  <si>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</si>
  <si>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</si>
  <si>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</si>
  <si>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</si>
  <si>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</si>
  <si>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</si>
  <si>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</si>
  <si>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</si>
  <si>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</si>
  <si>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</si>
  <si>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</si>
  <si>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</si>
  <si>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</si>
  <si>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</si>
  <si>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</si>
  <si>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</si>
  <si>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</si>
  <si>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</si>
  <si>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</si>
  <si>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</si>
  <si>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</si>
  <si>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</si>
  <si>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</si>
  <si>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</si>
  <si>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</si>
  <si>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</si>
  <si>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</si>
  <si>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</si>
  <si>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</si>
  <si>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</si>
  <si>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</si>
  <si>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</si>
  <si>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</si>
  <si>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</si>
  <si>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</si>
  <si>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</si>
  <si>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</si>
  <si>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</si>
  <si>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</si>
  <si>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</si>
  <si>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</si>
  <si>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</si>
  <si>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</si>
  <si>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</si>
  <si>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</si>
  <si>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</si>
  <si>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</si>
  <si>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</si>
  <si>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</si>
  <si>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</si>
  <si>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</si>
  <si>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</si>
  <si>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</si>
  <si>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</si>
  <si>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</si>
  <si>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</si>
  <si>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</si>
  <si>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</si>
  <si>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</si>
  <si>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</si>
  <si>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</si>
  <si>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</si>
  <si>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</si>
  <si>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</si>
  <si>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</si>
  <si>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</si>
  <si>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</si>
  <si>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</si>
  <si>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</si>
  <si>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</si>
  <si>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</si>
  <si>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</si>
  <si>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</si>
  <si>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</si>
  <si>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</si>
  <si>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</si>
  <si>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</si>
  <si>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</si>
  <si>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</si>
  <si>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</si>
  <si>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</si>
  <si>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</si>
  <si>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</si>
  <si>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</si>
  <si>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</si>
  <si>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</si>
  <si>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</si>
  <si>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</si>
  <si>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</si>
  <si>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</si>
  <si>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</si>
  <si>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</si>
  <si>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</si>
  <si>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</si>
  <si>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</si>
  <si>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</si>
  <si>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</si>
  <si>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</si>
  <si>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</si>
  <si>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</si>
  <si>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</si>
  <si>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</si>
  <si>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</si>
  <si>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</si>
  <si>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</si>
  <si>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</si>
  <si>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</si>
  <si>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</si>
  <si>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</si>
  <si>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</si>
  <si>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</si>
  <si>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</si>
  <si>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</si>
  <si>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</si>
  <si>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</si>
  <si>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</si>
  <si>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</si>
  <si>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</si>
  <si>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</si>
  <si>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</si>
  <si>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</si>
  <si>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</si>
  <si>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</si>
  <si>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</si>
  <si>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</si>
  <si>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</si>
  <si>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</si>
  <si>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</si>
  <si>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</si>
  <si>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</si>
  <si>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</si>
  <si>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</si>
  <si>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</si>
  <si>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</si>
  <si>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</si>
  <si>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</si>
  <si>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</si>
  <si>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</si>
  <si>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</si>
  <si>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</si>
  <si>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</si>
  <si>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</si>
  <si>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</si>
  <si>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</si>
  <si>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</si>
  <si>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</si>
  <si>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</si>
  <si>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</si>
  <si>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</si>
  <si>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</si>
  <si>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</si>
  <si>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</si>
  <si>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</si>
  <si>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</si>
  <si>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</si>
  <si>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</si>
  <si>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</si>
  <si>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</si>
  <si>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</si>
  <si>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</si>
  <si>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</si>
  <si>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</si>
  <si>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</si>
  <si>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</si>
  <si>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</si>
  <si>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</si>
  <si>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</si>
  <si>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</si>
  <si>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</si>
  <si>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</si>
  <si>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</si>
  <si>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</si>
  <si>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</si>
  <si>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</si>
  <si>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</si>
  <si>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</si>
  <si>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</si>
  <si>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</si>
  <si>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</si>
  <si>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</si>
  <si>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</si>
  <si>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</si>
  <si>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</si>
  <si>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</si>
  <si>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</si>
  <si>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</si>
  <si>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</si>
  <si>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</si>
  <si>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</si>
  <si>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</si>
  <si>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</si>
  <si>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</si>
  <si>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</si>
  <si>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</si>
  <si>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</si>
  <si>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</si>
  <si>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</si>
  <si>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</si>
  <si>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</si>
  <si>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</si>
  <si>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</si>
  <si>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</si>
  <si>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</si>
  <si>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</si>
  <si>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</si>
  <si>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</si>
  <si>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</si>
  <si>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</si>
  <si>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</si>
  <si>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</si>
  <si>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</si>
  <si>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</si>
  <si>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</si>
  <si>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</si>
  <si>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</si>
  <si>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</si>
  <si>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</si>
  <si>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</si>
  <si>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</si>
  <si>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</si>
  <si>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</si>
  <si>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</si>
  <si>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</si>
  <si>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</si>
  <si>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</si>
  <si>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</si>
  <si>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</si>
  <si>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</si>
  <si>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</si>
  <si>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</si>
  <si>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</si>
  <si>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</si>
  <si>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</si>
  <si>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</si>
  <si>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</si>
  <si>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</si>
  <si>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</si>
  <si>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</si>
  <si>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</si>
  <si>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</si>
  <si>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</si>
  <si>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</si>
  <si>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</si>
  <si>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</si>
  <si>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</si>
  <si>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</si>
  <si>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</si>
  <si>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</si>
  <si>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</si>
  <si>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</si>
  <si>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</si>
  <si>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</si>
  <si>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</si>
  <si>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</si>
  <si>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</si>
  <si>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</si>
  <si>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</si>
  <si>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</si>
  <si>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</si>
  <si>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</si>
  <si>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</si>
  <si>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</si>
  <si>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</si>
  <si>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</si>
  <si>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</si>
  <si>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</si>
  <si>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</si>
  <si>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</si>
  <si>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</si>
  <si>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</si>
  <si>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</si>
  <si>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</si>
  <si>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</si>
  <si>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</si>
  <si>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</si>
  <si>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</si>
  <si>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</si>
  <si>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</si>
  <si>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</si>
  <si>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</si>
  <si>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</si>
  <si>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</si>
  <si>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</si>
  <si>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</si>
  <si>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</si>
  <si>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</si>
  <si>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</si>
  <si>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</si>
  <si>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</si>
  <si>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</si>
  <si>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</si>
  <si>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</si>
  <si>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</si>
  <si>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</si>
  <si>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</si>
  <si>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</si>
  <si>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</si>
  <si>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</si>
  <si>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</si>
  <si>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</si>
  <si>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</si>
  <si>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</si>
  <si>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</si>
  <si>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</si>
  <si>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</si>
  <si>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</si>
  <si>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</si>
  <si>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</si>
  <si>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</si>
  <si>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</si>
  <si>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</si>
  <si>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</si>
  <si>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</si>
  <si>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</si>
  <si>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</si>
  <si>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</si>
  <si>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</si>
  <si>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</si>
  <si>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</si>
  <si>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</si>
  <si>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</si>
  <si>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</si>
  <si>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</si>
  <si>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</si>
  <si>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</si>
  <si>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</si>
  <si>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</si>
  <si>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</si>
  <si>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</si>
  <si>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</si>
  <si>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</si>
  <si>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</si>
  <si>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</si>
  <si>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</si>
  <si>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</si>
  <si>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</si>
  <si>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</si>
  <si>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</si>
  <si>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</si>
  <si>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</si>
  <si>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</si>
  <si>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</si>
  <si>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</si>
  <si>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</si>
  <si>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</si>
  <si>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</si>
  <si>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</si>
  <si>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</si>
  <si>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</si>
  <si>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</si>
  <si>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</si>
  <si>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</si>
  <si>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</si>
  <si>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</si>
  <si>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</si>
  <si>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</si>
  <si>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</si>
  <si>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</si>
  <si>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</si>
  <si>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</si>
  <si>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</si>
  <si>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</si>
  <si>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</si>
  <si>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</si>
  <si>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</si>
  <si>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</si>
  <si>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</si>
  <si>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</si>
  <si>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</si>
  <si>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</si>
  <si>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</si>
  <si>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</si>
  <si>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</si>
  <si>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</si>
  <si>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</si>
  <si>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</si>
  <si>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</si>
  <si>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</si>
  <si>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</si>
  <si>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</si>
  <si>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</si>
  <si>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</si>
  <si>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</si>
  <si>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</si>
  <si>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</si>
  <si>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</si>
  <si>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</si>
  <si>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</si>
  <si>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</si>
  <si>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</si>
  <si>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</si>
  <si>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</si>
  <si>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</si>
  <si>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</si>
  <si>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</si>
  <si>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</si>
  <si>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</si>
  <si>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</si>
  <si>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</si>
  <si>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</si>
  <si>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</si>
  <si>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</si>
  <si>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</si>
  <si>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</si>
  <si>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</si>
  <si>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</si>
  <si>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</si>
  <si>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</si>
  <si>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</si>
  <si>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</si>
  <si>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</si>
  <si>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</si>
  <si>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</si>
  <si>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</si>
  <si>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</si>
  <si>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</si>
  <si>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</si>
  <si>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</si>
  <si>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</si>
  <si>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</si>
  <si>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</si>
  <si>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</si>
  <si>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</si>
  <si>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</si>
  <si>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</si>
  <si>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</si>
  <si>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</si>
  <si>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</si>
  <si>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</si>
  <si>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</si>
  <si>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</si>
  <si>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</si>
  <si>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</si>
  <si>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</si>
  <si>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</si>
  <si>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</si>
  <si>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</si>
  <si>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</si>
  <si>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</si>
  <si>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</si>
  <si>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</si>
  <si>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</si>
  <si>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</si>
  <si>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</si>
  <si>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</si>
  <si>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</si>
  <si>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</si>
  <si>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</si>
  <si>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</si>
  <si>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</si>
  <si>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</si>
  <si>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</si>
  <si>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</si>
  <si>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</si>
  <si>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</si>
  <si>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</si>
  <si>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</si>
  <si>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</si>
  <si>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</si>
  <si>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</si>
  <si>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</si>
  <si>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</si>
  <si>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</si>
  <si>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</si>
  <si>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</si>
  <si>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</si>
  <si>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</si>
  <si>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</si>
  <si>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</si>
  <si>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</si>
  <si>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</si>
  <si>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</si>
  <si>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</si>
  <si>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</si>
  <si>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</si>
  <si>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</si>
  <si>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</si>
  <si>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</si>
  <si>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</si>
  <si>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</si>
  <si>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</si>
  <si>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</si>
  <si>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</si>
  <si>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</si>
  <si>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</si>
  <si>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</si>
  <si>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</si>
  <si>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</si>
  <si>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</si>
  <si>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</si>
  <si>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</si>
  <si>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</si>
  <si>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</si>
  <si>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</si>
  <si>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</si>
  <si>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</si>
  <si>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</si>
  <si>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</si>
  <si>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</si>
  <si>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</si>
  <si>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</si>
  <si>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</si>
  <si>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</si>
  <si>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</si>
  <si>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</si>
  <si>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</si>
  <si>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</si>
  <si>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</si>
  <si>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</si>
  <si>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</si>
  <si>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</si>
  <si>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</si>
  <si>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</si>
  <si>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</si>
  <si>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</si>
  <si>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</si>
  <si>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</si>
  <si>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</si>
  <si>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</si>
  <si>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</si>
  <si>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</si>
  <si>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</si>
  <si>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</si>
  <si>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</si>
  <si>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</si>
  <si>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</si>
  <si>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</si>
  <si>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</si>
  <si>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</si>
  <si>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</si>
  <si>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</si>
  <si>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</si>
  <si>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</si>
  <si>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</si>
  <si>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</si>
  <si>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</si>
  <si>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</si>
  <si>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</si>
  <si>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</si>
  <si>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</si>
  <si>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</si>
  <si>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</si>
  <si>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</si>
  <si>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</si>
  <si>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</si>
  <si>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</si>
  <si>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</si>
  <si>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</si>
  <si>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</si>
  <si>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</si>
  <si>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</si>
  <si>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</si>
  <si>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</si>
  <si>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</si>
  <si>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</si>
  <si>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</si>
  <si>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</si>
  <si>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</si>
  <si>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</si>
  <si>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</si>
  <si>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</si>
  <si>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</si>
  <si>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</si>
  <si>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</si>
  <si>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</si>
  <si>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</si>
  <si>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</si>
  <si>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</si>
  <si>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</si>
  <si>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</si>
  <si>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</si>
  <si>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</si>
  <si>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</si>
  <si>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</si>
  <si>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</si>
  <si>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</si>
  <si>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</si>
  <si>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</si>
  <si>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</si>
  <si>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</si>
  <si>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</si>
  <si>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</si>
  <si>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</si>
  <si>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</si>
  <si>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</si>
  <si>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</si>
  <si>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</si>
  <si>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</si>
  <si>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</si>
  <si>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</si>
  <si>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</si>
  <si>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</si>
  <si>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</si>
  <si>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</si>
  <si>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</si>
  <si>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</si>
  <si>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</si>
  <si>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</si>
  <si>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</si>
  <si>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</si>
  <si>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</si>
  <si>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</si>
  <si>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</si>
  <si>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</si>
  <si>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</si>
  <si>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</si>
  <si>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</si>
  <si>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</si>
  <si>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</si>
  <si>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</si>
  <si>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</si>
  <si>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</si>
  <si>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</si>
  <si>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</si>
  <si>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</si>
  <si>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</si>
  <si>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</si>
  <si>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</si>
  <si>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</si>
  <si>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</si>
  <si>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</si>
  <si>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</si>
  <si>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</si>
  <si>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</si>
  <si>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</si>
  <si>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</si>
  <si>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</si>
  <si>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</si>
  <si>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</si>
  <si>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</si>
  <si>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</si>
  <si>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</si>
  <si>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</si>
  <si>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</si>
  <si>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</si>
  <si>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</si>
  <si>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</si>
  <si>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</si>
  <si>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</si>
  <si>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</si>
  <si>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</si>
  <si>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</si>
  <si>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</si>
  <si>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</si>
  <si>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</si>
  <si>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</si>
  <si>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</si>
  <si>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</si>
  <si>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</si>
  <si>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</si>
  <si>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</si>
  <si>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</si>
  <si>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</si>
  <si>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</si>
  <si>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</si>
  <si>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</si>
  <si>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</si>
  <si>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</si>
  <si>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</si>
  <si>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</si>
  <si>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</si>
  <si>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</si>
  <si>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</si>
  <si>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</si>
  <si>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</si>
  <si>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</si>
  <si>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</si>
  <si>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</si>
  <si>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</si>
  <si>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</si>
  <si>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</si>
  <si>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</si>
  <si>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</si>
  <si>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</si>
  <si>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</si>
  <si>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</si>
  <si>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</si>
  <si>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</si>
  <si>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</si>
  <si>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</si>
  <si>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</si>
  <si>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</si>
  <si>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</si>
  <si>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</si>
  <si>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</si>
  <si>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</si>
  <si>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</si>
  <si>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</si>
  <si>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</si>
  <si>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</si>
  <si>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</si>
  <si>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</si>
  <si>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</si>
  <si>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</si>
  <si>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</si>
  <si>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</si>
  <si>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</si>
  <si>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</si>
  <si>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</si>
  <si>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</si>
  <si>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</si>
  <si>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</si>
  <si>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</si>
  <si>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</si>
  <si>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</si>
  <si>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</si>
  <si>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</si>
  <si>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</si>
  <si>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</si>
  <si>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</si>
  <si>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</si>
  <si>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</si>
  <si>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</si>
  <si>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</si>
  <si>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</si>
  <si>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</si>
  <si>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</si>
  <si>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</si>
  <si>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</si>
  <si>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</si>
  <si>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</si>
  <si>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</si>
  <si>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</si>
  <si>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</si>
  <si>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</si>
  <si>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</si>
  <si>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</si>
  <si>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</si>
  <si>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</si>
  <si>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</si>
  <si>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</si>
  <si>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</si>
  <si>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</si>
  <si>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</si>
  <si>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</si>
  <si>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</si>
  <si>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</si>
  <si>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</si>
  <si>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</si>
  <si>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</si>
  <si>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</si>
  <si>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</si>
  <si>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</si>
  <si>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</si>
  <si>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</si>
  <si>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</si>
  <si>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</si>
  <si>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</si>
  <si>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</si>
  <si>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</si>
  <si>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</si>
  <si>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</si>
  <si>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</si>
  <si>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</si>
  <si>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</si>
  <si>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</si>
  <si>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</si>
  <si>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</si>
  <si>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</si>
  <si>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</si>
  <si>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</si>
  <si>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</si>
  <si>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</si>
  <si>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</si>
  <si>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</si>
  <si>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</si>
  <si>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</si>
  <si>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</si>
  <si>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</si>
  <si>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</si>
  <si>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</si>
  <si>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</si>
  <si>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</si>
  <si>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</si>
  <si>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</si>
  <si>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</si>
  <si>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</si>
  <si>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</si>
  <si>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</si>
  <si>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</si>
  <si>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</si>
  <si>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</si>
  <si>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</si>
  <si>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</si>
  <si>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</si>
  <si>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</si>
  <si>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</si>
  <si>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</si>
  <si>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</si>
  <si>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</si>
  <si>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</si>
  <si>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</si>
  <si>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</si>
  <si>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</si>
  <si>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</si>
  <si>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</si>
  <si>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</si>
  <si>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</si>
  <si>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</si>
  <si>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</si>
  <si>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</si>
  <si>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</si>
  <si>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</si>
  <si>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</si>
  <si>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</si>
  <si>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</si>
  <si>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</si>
  <si>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</si>
  <si>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</si>
  <si>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</si>
  <si>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</si>
  <si>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</si>
  <si>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</si>
  <si>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</si>
  <si>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</si>
  <si>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</si>
  <si>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</si>
  <si>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</si>
  <si>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</si>
  <si>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</si>
  <si>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</si>
  <si>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</si>
  <si>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</si>
  <si>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</si>
  <si>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</si>
  <si>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</si>
  <si>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</si>
  <si>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</si>
  <si>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</si>
  <si>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</si>
  <si>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</si>
  <si>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</si>
  <si>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</si>
  <si>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</si>
  <si>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</si>
  <si>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</si>
  <si>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</si>
  <si>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</si>
  <si>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</si>
  <si>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</si>
  <si>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</si>
  <si>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</si>
  <si>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</si>
  <si>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</si>
  <si>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</si>
  <si>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</si>
  <si>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</si>
  <si>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</si>
  <si>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</si>
  <si>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</si>
  <si>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</si>
  <si>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</si>
  <si>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</si>
  <si>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</si>
  <si>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</si>
  <si>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</si>
  <si>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</si>
  <si>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</si>
  <si>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</si>
  <si>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</si>
  <si>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</si>
  <si>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</si>
  <si>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</si>
  <si>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</si>
  <si>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</si>
  <si>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</si>
  <si>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</si>
  <si>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</si>
  <si>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</si>
  <si>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</si>
  <si>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</si>
  <si>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</si>
  <si>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</si>
  <si>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</si>
  <si>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</si>
  <si>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</si>
  <si>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</si>
  <si>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</si>
  <si>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</si>
  <si>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</si>
  <si>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</si>
  <si>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</si>
  <si>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</si>
  <si>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</si>
  <si>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</si>
  <si>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</si>
  <si>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</si>
  <si>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</si>
  <si>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</si>
  <si>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</si>
  <si>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</si>
  <si>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</si>
  <si>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</si>
  <si>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</si>
  <si>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</si>
  <si>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</si>
  <si>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</si>
  <si>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</si>
  <si>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</si>
  <si>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</si>
  <si>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</si>
  <si>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</si>
  <si>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</si>
  <si>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</si>
  <si>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</si>
  <si>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</si>
  <si>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</si>
  <si>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</si>
  <si>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</si>
  <si>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</si>
  <si>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</si>
  <si>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</si>
  <si>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</si>
  <si>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</si>
  <si>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</si>
  <si>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</si>
  <si>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</si>
  <si>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</si>
  <si>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</si>
  <si>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</si>
  <si>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</si>
  <si>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</si>
  <si>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</si>
  <si>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</si>
  <si>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</si>
  <si>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</si>
  <si>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</si>
  <si>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</si>
  <si>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</si>
  <si>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</si>
  <si>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</si>
  <si>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</si>
  <si>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</si>
  <si>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</si>
  <si>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</si>
  <si>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</si>
  <si>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</si>
  <si>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</si>
  <si>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</si>
  <si>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</si>
  <si>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</si>
  <si>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</si>
  <si>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</si>
  <si>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</si>
  <si>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</si>
  <si>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</si>
  <si>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</si>
  <si>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</si>
  <si>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</si>
  <si>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</si>
  <si>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</si>
  <si>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</si>
  <si>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</si>
  <si>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</si>
  <si>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</si>
  <si>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</si>
  <si>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</si>
  <si>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</si>
  <si>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</si>
  <si>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</si>
  <si>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</si>
  <si>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</si>
  <si>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</si>
  <si>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</si>
  <si>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</si>
  <si>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</si>
  <si>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</si>
  <si>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</si>
  <si>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</si>
  <si>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</si>
  <si>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</si>
  <si>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</si>
  <si>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</si>
  <si>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</si>
  <si>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</si>
  <si>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</si>
  <si>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</si>
  <si>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</si>
  <si>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</si>
  <si>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</si>
  <si>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</si>
  <si>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</si>
  <si>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</si>
  <si>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</si>
  <si>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</si>
  <si>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</si>
  <si>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</si>
  <si>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</si>
  <si>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</si>
  <si>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</si>
  <si>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</si>
  <si>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</si>
  <si>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</si>
  <si>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</si>
  <si>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</si>
  <si>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</si>
  <si>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</si>
  <si>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</si>
  <si>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</si>
  <si>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</si>
  <si>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</si>
  <si>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</si>
  <si>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</si>
  <si>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</si>
  <si>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</si>
  <si>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</si>
  <si>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</si>
  <si>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</si>
  <si>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</si>
  <si>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</si>
  <si>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</si>
  <si>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</si>
  <si>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</si>
  <si>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</si>
  <si>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</si>
  <si>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</si>
  <si>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</si>
  <si>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</si>
  <si>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</si>
  <si>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</si>
  <si>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</si>
  <si>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</si>
  <si>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</si>
  <si>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</si>
  <si>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</si>
  <si>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</si>
  <si>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</si>
  <si>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</si>
  <si>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</si>
  <si>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</si>
  <si>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</si>
  <si>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</si>
  <si>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</si>
  <si>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</si>
  <si>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</si>
  <si>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</si>
  <si>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</si>
  <si>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</si>
  <si>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</si>
  <si>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</si>
  <si>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</si>
  <si>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</si>
  <si>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</si>
  <si>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</si>
  <si>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</si>
  <si>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</si>
  <si>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</si>
  <si>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</si>
  <si>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</si>
  <si>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</si>
  <si>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</si>
  <si>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</si>
  <si>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</si>
  <si>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</si>
  <si>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</si>
  <si>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</si>
  <si>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</si>
  <si>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</si>
  <si>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</si>
  <si>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</si>
  <si>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</si>
  <si>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</si>
  <si>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</si>
  <si>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</si>
  <si>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</si>
  <si>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</si>
  <si>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</si>
  <si>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</si>
  <si>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</si>
  <si>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</si>
  <si>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</si>
  <si>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</si>
  <si>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</si>
  <si>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</si>
  <si>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</si>
  <si>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</si>
  <si>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</si>
  <si>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</si>
  <si>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</si>
  <si>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</si>
  <si>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</si>
  <si>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</si>
  <si>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</si>
  <si>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</si>
  <si>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</si>
  <si>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</si>
  <si>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</si>
  <si>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</si>
  <si>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</si>
  <si>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</si>
  <si>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</si>
  <si>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</si>
  <si>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</si>
  <si>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</si>
  <si>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</si>
  <si>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</si>
  <si>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</si>
  <si>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</si>
  <si>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</si>
  <si>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</si>
  <si>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</si>
  <si>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</si>
  <si>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</si>
  <si>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</si>
  <si>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</si>
  <si>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</si>
  <si>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</si>
  <si>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</si>
  <si>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</si>
  <si>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</si>
  <si>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</si>
  <si>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</si>
  <si>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</si>
  <si>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</si>
  <si>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</si>
  <si>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</si>
  <si>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</si>
  <si>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</si>
  <si>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</si>
  <si>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</si>
  <si>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</si>
  <si>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</si>
  <si>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</si>
  <si>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</si>
  <si>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</si>
  <si>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</si>
  <si>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</si>
  <si>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</si>
  <si>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</si>
  <si>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</si>
  <si>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</si>
  <si>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</si>
  <si>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</si>
  <si>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</si>
  <si>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</si>
  <si>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</si>
  <si>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</si>
  <si>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</si>
  <si>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</si>
  <si>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</si>
  <si>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</si>
  <si>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</si>
  <si>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</si>
  <si>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</si>
  <si>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</si>
  <si>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</si>
  <si>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</si>
  <si>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</si>
  <si>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</si>
  <si>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</si>
  <si>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</si>
  <si>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</si>
  <si>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</si>
  <si>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</si>
  <si>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</si>
  <si>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</si>
  <si>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</si>
  <si>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</si>
  <si>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</si>
  <si>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</si>
  <si>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</si>
  <si>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</si>
  <si>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</si>
  <si>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</si>
  <si>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</si>
  <si>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</si>
  <si>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</si>
  <si>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</si>
  <si>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</si>
  <si>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</si>
  <si>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</si>
  <si>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</si>
  <si>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</si>
  <si>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</si>
  <si>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</si>
  <si>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</si>
  <si>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</si>
  <si>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</si>
  <si>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</si>
  <si>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</si>
  <si>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</si>
  <si>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</si>
  <si>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</si>
  <si>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</si>
  <si>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</si>
  <si>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</si>
  <si>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</si>
  <si>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</si>
  <si>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</si>
  <si>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</si>
  <si>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</si>
  <si>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</si>
  <si>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</si>
  <si>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</si>
  <si>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</si>
  <si>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</si>
  <si>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</si>
  <si>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</si>
  <si>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</si>
  <si>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</si>
  <si>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</si>
  <si>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</si>
  <si>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</si>
  <si>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</si>
  <si>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</si>
  <si>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</si>
  <si>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</si>
  <si>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</si>
  <si>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</si>
  <si>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</si>
  <si>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</si>
  <si>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</si>
  <si>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</si>
  <si>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</si>
  <si>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</si>
  <si>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</si>
  <si>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</si>
  <si>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</si>
  <si>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</si>
  <si>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</si>
  <si>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</si>
  <si>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</si>
  <si>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</si>
  <si>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</si>
  <si>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</si>
  <si>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</si>
  <si>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</si>
  <si>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</si>
  <si>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</si>
  <si>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</si>
  <si>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</si>
  <si>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</si>
  <si>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</si>
  <si>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</si>
  <si>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</si>
  <si>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</si>
  <si>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</si>
  <si>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</si>
  <si>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</si>
  <si>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</si>
  <si>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</si>
  <si>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</si>
  <si>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</si>
  <si>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</si>
  <si>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</si>
  <si>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</si>
  <si>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</si>
  <si>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</si>
  <si>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</si>
  <si>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</si>
  <si>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</si>
  <si>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</si>
  <si>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</si>
  <si>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</si>
  <si>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</si>
  <si>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</si>
  <si>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</si>
  <si>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</si>
  <si>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</si>
  <si>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</si>
  <si>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</si>
  <si>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</si>
  <si>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</si>
  <si>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</si>
  <si>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</si>
  <si>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</si>
  <si>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</si>
  <si>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</si>
  <si>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</si>
  <si>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</si>
  <si>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</si>
  <si>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</si>
  <si>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</si>
  <si>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</si>
  <si>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</si>
  <si>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</si>
  <si>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</si>
  <si>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</si>
  <si>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</si>
  <si>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</si>
  <si>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</si>
  <si>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</si>
  <si>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</si>
  <si>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</si>
  <si>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</si>
  <si>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</si>
  <si>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</si>
  <si>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</si>
  <si>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</si>
  <si>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</si>
  <si>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</si>
  <si>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</si>
  <si>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</si>
  <si>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</si>
  <si>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</si>
  <si>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</si>
  <si>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</si>
  <si>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</si>
  <si>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</si>
  <si>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</si>
  <si>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</si>
  <si>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</si>
  <si>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</si>
  <si>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</si>
  <si>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</si>
  <si>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</si>
  <si>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</si>
  <si>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</si>
  <si>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</si>
  <si>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</si>
  <si>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</si>
  <si>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</si>
  <si>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</si>
  <si>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</si>
  <si>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</si>
  <si>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</si>
  <si>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</si>
  <si>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</si>
  <si>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</si>
  <si>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</si>
  <si>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</si>
  <si>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</si>
  <si>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</si>
  <si>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</si>
  <si>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</si>
  <si>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</si>
  <si>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</si>
  <si>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</si>
  <si>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</si>
  <si>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</si>
  <si>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</si>
  <si>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</si>
  <si>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</si>
  <si>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</si>
  <si>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</si>
  <si>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</si>
  <si>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</si>
  <si>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</si>
  <si>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</si>
  <si>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</si>
  <si>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</si>
  <si>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</si>
  <si>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</si>
  <si>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</si>
  <si>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</si>
  <si>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</si>
  <si>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</si>
  <si>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</si>
  <si>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</si>
  <si>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</si>
  <si>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</si>
  <si>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</si>
  <si>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</si>
  <si>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</si>
  <si>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</si>
  <si>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</si>
  <si>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</si>
  <si>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</si>
  <si>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</si>
  <si>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</si>
  <si>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</si>
  <si>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</si>
  <si>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</si>
  <si>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</si>
  <si>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</si>
  <si>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</si>
  <si>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</si>
  <si>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</si>
  <si>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</si>
  <si>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</si>
  <si>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</si>
  <si>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</si>
  <si>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</si>
  <si>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</si>
  <si>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</si>
  <si>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</si>
  <si>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</si>
  <si>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</si>
  <si>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</si>
  <si>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</si>
  <si>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</si>
  <si>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</si>
  <si>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</si>
  <si>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</si>
  <si>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</si>
  <si>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</si>
  <si>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</si>
  <si>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</si>
  <si>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</si>
  <si>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</si>
  <si>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</si>
  <si>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</si>
  <si>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</si>
  <si>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</si>
  <si>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</si>
  <si>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</si>
  <si>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</si>
  <si>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</si>
  <si>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</si>
  <si>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</si>
  <si>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</si>
  <si>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</si>
  <si>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</si>
  <si>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</si>
  <si>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</si>
  <si>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</si>
  <si>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</si>
  <si>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</si>
  <si>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</si>
  <si>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</si>
  <si>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</si>
  <si>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</si>
  <si>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</si>
  <si>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</si>
  <si>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</si>
  <si>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</si>
  <si>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</si>
  <si>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</si>
  <si>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</si>
  <si>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</si>
  <si>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</si>
  <si>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</si>
  <si>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</si>
  <si>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</si>
  <si>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</si>
  <si>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</si>
  <si>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</si>
  <si>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</si>
  <si>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</si>
  <si>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</si>
  <si>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</si>
  <si>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</si>
  <si>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</si>
  <si>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</si>
  <si>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</si>
  <si>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</si>
  <si>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</si>
  <si>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</si>
  <si>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</si>
  <si>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</si>
  <si>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</si>
  <si>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</si>
  <si>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</si>
  <si>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</si>
  <si>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</si>
  <si>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</si>
  <si>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</si>
  <si>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</si>
  <si>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</si>
  <si>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</si>
  <si>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</si>
  <si>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</si>
  <si>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</si>
  <si>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</si>
  <si>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</si>
  <si>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</si>
  <si>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</si>
  <si>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</si>
  <si>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</si>
  <si>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</si>
  <si>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</si>
  <si>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</si>
  <si>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</si>
  <si>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</si>
  <si>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</si>
  <si>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</si>
  <si>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</si>
  <si>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</si>
  <si>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</si>
  <si>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</si>
  <si>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</si>
  <si>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</si>
  <si>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</si>
  <si>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</si>
  <si>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</si>
  <si>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</si>
  <si>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</si>
  <si>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</si>
  <si>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</si>
  <si>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</si>
  <si>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</si>
  <si>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</si>
  <si>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</si>
  <si>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</si>
  <si>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</si>
  <si>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</si>
  <si>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</si>
  <si>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</si>
  <si>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</si>
  <si>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</si>
  <si>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</si>
  <si>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</si>
  <si>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</si>
  <si>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</si>
  <si>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</si>
  <si>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</si>
  <si>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</si>
  <si>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</si>
  <si>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</si>
  <si>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</si>
  <si>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</si>
  <si>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</si>
  <si>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</si>
  <si>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</si>
  <si>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</si>
  <si>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</si>
  <si>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</si>
  <si>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</si>
  <si>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</si>
  <si>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</si>
  <si>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</si>
  <si>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</si>
  <si>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</si>
  <si>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</si>
  <si>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</si>
  <si>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</si>
  <si>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</si>
  <si>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</si>
  <si>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</si>
  <si>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</si>
  <si>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</si>
  <si>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</si>
  <si>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</si>
  <si>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</si>
  <si>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</si>
  <si>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</si>
  <si>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</si>
  <si>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</si>
  <si>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</si>
  <si>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</si>
  <si>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</si>
  <si>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</si>
  <si>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</si>
  <si>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</si>
  <si>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</si>
  <si>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</si>
  <si>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</si>
  <si>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</si>
  <si>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</si>
  <si>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</si>
  <si>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</si>
  <si>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</si>
  <si>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</si>
  <si>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</si>
  <si>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</si>
  <si>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</si>
  <si>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</si>
  <si>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</si>
  <si>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</si>
  <si>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</si>
  <si>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</si>
  <si>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</si>
  <si>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</si>
  <si>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</si>
  <si>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</si>
  <si>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</si>
  <si>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</si>
  <si>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</si>
  <si>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</si>
  <si>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</si>
  <si>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</si>
  <si>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</si>
  <si>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</si>
  <si>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</si>
  <si>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</si>
  <si>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</si>
  <si>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</si>
  <si>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</si>
  <si>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</si>
  <si>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</si>
  <si>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</si>
  <si>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</si>
  <si>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</si>
  <si>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</si>
  <si>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</si>
  <si>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</si>
  <si>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</si>
  <si>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</si>
  <si>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</si>
  <si>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</si>
  <si>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</si>
  <si>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</si>
  <si>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</si>
  <si>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</si>
  <si>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</si>
  <si>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</si>
  <si>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</si>
  <si>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</si>
  <si>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</si>
  <si>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</si>
  <si>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</si>
  <si>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</si>
  <si>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</si>
  <si>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</si>
  <si>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</si>
  <si>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</si>
  <si>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</si>
  <si>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</si>
  <si>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</si>
  <si>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</si>
  <si>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</si>
  <si>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</si>
  <si>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</si>
  <si>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</si>
  <si>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</si>
  <si>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</si>
  <si>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</si>
  <si>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</si>
  <si>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</si>
  <si>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</si>
  <si>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</si>
  <si>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</si>
  <si>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</si>
  <si>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</si>
  <si>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</si>
  <si>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</si>
  <si>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</si>
  <si>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</si>
  <si>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</si>
  <si>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</si>
  <si>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</si>
  <si>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</si>
  <si>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</si>
  <si>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</si>
  <si>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</si>
  <si>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</si>
  <si>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</si>
  <si>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</si>
  <si>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</si>
  <si>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</si>
  <si>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</si>
  <si>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</si>
  <si>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</si>
  <si>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</si>
  <si>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</si>
  <si>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</si>
  <si>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</si>
  <si>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</si>
  <si>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</si>
  <si>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</si>
  <si>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</si>
  <si>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</si>
  <si>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</si>
  <si>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</si>
  <si>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</si>
  <si>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</si>
  <si>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</si>
  <si>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</si>
  <si>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</si>
  <si>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</si>
  <si>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</si>
  <si>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</si>
  <si>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</si>
  <si>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</si>
  <si>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</si>
  <si>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</si>
  <si>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</si>
  <si>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</si>
  <si>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</si>
  <si>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</si>
  <si>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</si>
  <si>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</si>
  <si>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</si>
  <si>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</si>
  <si>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</si>
  <si>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</si>
  <si>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</si>
  <si>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</si>
  <si>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</si>
  <si>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</si>
  <si>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</si>
  <si>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</si>
  <si>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</si>
  <si>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</si>
  <si>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</si>
  <si>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</si>
  <si>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</si>
  <si>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</si>
  <si>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</si>
  <si>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</si>
  <si>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</si>
  <si>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</si>
  <si>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</si>
  <si>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</si>
  <si>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</si>
  <si>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</si>
  <si>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</si>
  <si>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</si>
  <si>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</si>
  <si>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</si>
  <si>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</si>
  <si>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</si>
  <si>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</si>
  <si>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</si>
  <si>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</si>
  <si>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</si>
  <si>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</si>
  <si>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</si>
  <si>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</si>
  <si>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</si>
  <si>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</si>
  <si>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</si>
  <si>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</si>
  <si>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</si>
  <si>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</si>
  <si>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</si>
  <si>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</si>
  <si>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</si>
  <si>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</si>
  <si>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</si>
  <si>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</si>
  <si>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</si>
  <si>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</si>
  <si>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</si>
  <si>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</si>
  <si>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</si>
  <si>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</si>
  <si>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</si>
  <si>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</si>
  <si>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</si>
  <si>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</si>
  <si>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</si>
  <si>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</si>
  <si>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</si>
  <si>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</si>
  <si>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</si>
  <si>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</si>
  <si>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</si>
  <si>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</si>
  <si>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</si>
  <si>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</si>
  <si>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</si>
  <si>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</si>
  <si>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</si>
  <si>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</si>
  <si>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</si>
  <si>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</si>
  <si>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</si>
  <si>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</si>
  <si>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</si>
  <si>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</si>
  <si>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</si>
  <si>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</si>
  <si>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</si>
  <si>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</si>
  <si>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</si>
  <si>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</si>
  <si>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</si>
  <si>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</si>
  <si>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</si>
  <si>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</si>
  <si>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</si>
  <si>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</si>
  <si>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</si>
  <si>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</si>
  <si>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</si>
  <si>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</si>
  <si>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</si>
  <si>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</si>
  <si>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</si>
  <si>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</si>
  <si>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</si>
  <si>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</si>
  <si>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</si>
  <si>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</si>
  <si>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</si>
  <si>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</si>
  <si>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</si>
  <si>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</si>
  <si>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</si>
  <si>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</si>
  <si>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</si>
  <si>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</si>
  <si>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</si>
  <si>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</si>
  <si>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</si>
  <si>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</si>
  <si>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</si>
  <si>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</si>
  <si>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</si>
  <si>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</si>
  <si>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</si>
  <si>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</si>
  <si>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</si>
  <si>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</si>
  <si>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</si>
  <si>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</si>
  <si>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</si>
  <si>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</si>
  <si>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</si>
  <si>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</si>
  <si>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</si>
  <si>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</si>
  <si>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</si>
  <si>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</si>
  <si>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</si>
  <si>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</si>
  <si>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</si>
  <si>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</si>
  <si>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</si>
  <si>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</si>
  <si>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</si>
  <si>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</si>
  <si>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</si>
  <si>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</si>
  <si>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</si>
  <si>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</si>
  <si>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</si>
  <si>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</si>
  <si>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</si>
  <si>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</si>
  <si>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</si>
  <si>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</si>
  <si>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</si>
  <si>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</si>
  <si>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</si>
  <si>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</si>
  <si>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</si>
  <si>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</si>
  <si>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</si>
  <si>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</si>
  <si>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</si>
  <si>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</si>
  <si>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</si>
  <si>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</si>
  <si>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</si>
  <si>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</si>
  <si>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</si>
  <si>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</si>
  <si>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</si>
  <si>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</si>
  <si>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</si>
  <si>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</si>
  <si>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</si>
  <si>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</si>
  <si>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</si>
  <si>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</si>
  <si>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</si>
  <si>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</si>
  <si>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</si>
  <si>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</si>
  <si>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</si>
  <si>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</si>
  <si>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</si>
  <si>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</si>
  <si>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</si>
  <si>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</si>
  <si>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</si>
  <si>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</si>
  <si>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</si>
  <si>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</si>
  <si>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</si>
  <si>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</si>
  <si>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</si>
  <si>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</si>
  <si>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</si>
  <si>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</si>
  <si>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</si>
  <si>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</si>
  <si>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</si>
  <si>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</si>
  <si>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</si>
  <si>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</si>
  <si>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</si>
  <si>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</si>
  <si>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</si>
  <si>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</si>
  <si>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</si>
  <si>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</si>
  <si>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</si>
  <si>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</si>
  <si>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</si>
  <si>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</si>
  <si>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</si>
  <si>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</si>
  <si>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</si>
  <si>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</si>
  <si>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</si>
  <si>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</si>
  <si>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</si>
  <si>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</si>
  <si>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</si>
  <si>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</si>
  <si>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</si>
  <si>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</si>
  <si>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</si>
  <si>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</si>
  <si>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</si>
  <si>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</si>
  <si>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</si>
  <si>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</si>
  <si>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</si>
  <si>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</si>
  <si>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</si>
  <si>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</si>
  <si>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</si>
  <si>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</si>
  <si>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</si>
  <si>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</si>
  <si>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</si>
  <si>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</si>
  <si>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</si>
  <si>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</si>
  <si>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</si>
  <si>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</si>
  <si>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</si>
  <si>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</si>
  <si>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</si>
  <si>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</si>
  <si>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</si>
  <si>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</si>
  <si>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</si>
  <si>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</si>
  <si>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</si>
  <si>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</si>
  <si>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</si>
  <si>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</si>
  <si>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</si>
  <si>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</si>
  <si>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</si>
  <si>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</si>
  <si>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</si>
  <si>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</si>
  <si>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</si>
  <si>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</si>
  <si>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</si>
  <si>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</si>
  <si>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</si>
  <si>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</si>
  <si>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</si>
  <si>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</si>
  <si>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</si>
  <si>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</si>
  <si>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</si>
  <si>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</si>
  <si>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</si>
  <si>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</si>
  <si>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</si>
  <si>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</si>
  <si>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</si>
  <si>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</si>
  <si>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</si>
  <si>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</si>
  <si>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</si>
  <si>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</si>
  <si>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</si>
  <si>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</si>
  <si>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</si>
  <si>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</si>
  <si>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</si>
  <si>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</si>
  <si>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</si>
  <si>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</si>
  <si>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</si>
  <si>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</si>
  <si>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</si>
  <si>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</si>
  <si>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</si>
  <si>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</si>
  <si>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</si>
  <si>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</si>
  <si>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</si>
  <si>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</si>
  <si>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</si>
  <si>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</si>
  <si>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</si>
  <si>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</si>
  <si>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</si>
  <si>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</si>
  <si>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</si>
  <si>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</si>
  <si>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</si>
  <si>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</si>
  <si>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</si>
  <si>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</si>
  <si>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</si>
  <si>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</si>
  <si>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</si>
  <si>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</si>
  <si>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</si>
  <si>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</si>
  <si>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</si>
  <si>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</si>
  <si>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</si>
  <si>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</si>
  <si>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</si>
  <si>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</si>
  <si>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</si>
  <si>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</si>
  <si>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</si>
  <si>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</si>
  <si>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</si>
  <si>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</si>
  <si>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</si>
  <si>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</si>
  <si>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</si>
  <si>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</si>
  <si>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</si>
  <si>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</si>
  <si>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</si>
  <si>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</si>
  <si>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</si>
  <si>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</si>
  <si>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</si>
  <si>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</si>
  <si>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</si>
  <si>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</si>
  <si>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</si>
  <si>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</si>
  <si>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</si>
  <si>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</si>
  <si>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</si>
  <si>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</si>
  <si>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</si>
  <si>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</si>
  <si>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</si>
  <si>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</si>
  <si>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</si>
  <si>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</si>
  <si>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</si>
  <si>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</si>
  <si>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</si>
  <si>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</si>
  <si>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</si>
  <si>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</si>
  <si>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</si>
  <si>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</si>
  <si>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</si>
  <si>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</si>
  <si>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</si>
  <si>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</si>
  <si>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</si>
  <si>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</si>
  <si>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</si>
  <si>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</si>
  <si>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</si>
  <si>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</si>
  <si>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</si>
  <si>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</si>
  <si>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</si>
  <si>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</si>
  <si>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</si>
  <si>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</si>
  <si>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</si>
  <si>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</si>
  <si>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</si>
  <si>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</si>
  <si>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</si>
  <si>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</si>
  <si>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</si>
  <si>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</si>
  <si>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</si>
  <si>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</si>
  <si>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</si>
  <si>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</si>
  <si>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</si>
  <si>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</si>
  <si>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</si>
  <si>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</si>
  <si>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</si>
  <si>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</si>
  <si>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</si>
  <si>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</si>
  <si>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</si>
  <si>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</si>
  <si>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</si>
  <si>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</si>
  <si>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</si>
  <si>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</si>
  <si>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</si>
  <si>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</si>
  <si>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</si>
  <si>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</si>
  <si>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</si>
  <si>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</si>
  <si>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</si>
  <si>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</si>
  <si>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</si>
  <si>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</si>
  <si>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</si>
  <si>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</si>
  <si>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</si>
  <si>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</si>
  <si>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</si>
  <si>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</si>
  <si>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</si>
  <si>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</si>
  <si>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</si>
  <si>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</si>
  <si>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</si>
  <si>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</si>
  <si>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</si>
  <si>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</si>
  <si>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</si>
  <si>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</si>
  <si>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</si>
  <si>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</si>
  <si>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</si>
  <si>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</si>
  <si>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</si>
  <si>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</si>
  <si>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</si>
  <si>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</si>
  <si>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</si>
  <si>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</si>
  <si>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</si>
  <si>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</si>
  <si>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</si>
  <si>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</si>
  <si>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</si>
  <si>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</si>
  <si>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</si>
  <si>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</si>
  <si>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</si>
  <si>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</si>
  <si>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</si>
  <si>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</si>
  <si>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</si>
  <si>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</si>
  <si>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</si>
  <si>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</si>
  <si>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</si>
  <si>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</si>
  <si>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</si>
  <si>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</si>
  <si>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</si>
  <si>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</si>
  <si>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</si>
  <si>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</si>
  <si>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</si>
  <si>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</si>
  <si>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</si>
  <si>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</si>
  <si>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</si>
  <si>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</si>
  <si>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</si>
  <si>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</si>
  <si>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</si>
  <si>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</si>
  <si>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</si>
  <si>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</si>
  <si>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</si>
  <si>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</si>
  <si>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</si>
  <si>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</si>
  <si>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</si>
  <si>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</si>
  <si>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</si>
  <si>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</si>
  <si>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</si>
  <si>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</si>
  <si>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</si>
  <si>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</si>
  <si>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</si>
  <si>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</si>
  <si>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</si>
  <si>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</si>
  <si>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</si>
  <si>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</si>
  <si>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</si>
  <si>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</si>
  <si>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</si>
  <si>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</si>
  <si>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</si>
  <si>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</si>
  <si>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</si>
  <si>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</si>
  <si>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</si>
  <si>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</si>
  <si>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</si>
  <si>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</si>
  <si>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</si>
  <si>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</si>
  <si>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</si>
  <si>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</si>
  <si>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</si>
  <si>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</si>
  <si>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</si>
  <si>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</si>
  <si>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</si>
  <si>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</si>
  <si>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</si>
  <si>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</si>
  <si>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</si>
  <si>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</si>
  <si>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</si>
  <si>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</si>
  <si>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</si>
  <si>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</si>
  <si>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</si>
  <si>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</si>
  <si>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</si>
  <si>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</si>
  <si>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</si>
  <si>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</si>
  <si>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</si>
  <si>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</si>
  <si>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</si>
  <si>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</si>
  <si>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</si>
  <si>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</si>
  <si>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</si>
  <si>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</si>
  <si>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</si>
  <si>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</si>
  <si>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</si>
  <si>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</si>
  <si>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</si>
  <si>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</si>
  <si>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</si>
  <si>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</si>
  <si>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</si>
  <si>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</si>
  <si>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</si>
  <si>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</si>
  <si>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</si>
  <si>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</si>
  <si>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</si>
  <si>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</si>
  <si>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</si>
  <si>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</si>
  <si>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</si>
  <si>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</si>
  <si>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</si>
  <si>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</si>
  <si>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</si>
  <si>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</si>
  <si>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</si>
  <si>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</si>
  <si>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</si>
  <si>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</si>
  <si>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</si>
  <si>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</si>
  <si>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</si>
  <si>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</si>
  <si>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</si>
  <si>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</si>
  <si>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</si>
  <si>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</si>
  <si>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</si>
  <si>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</si>
  <si>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</si>
  <si>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</si>
  <si>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</si>
  <si>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</si>
  <si>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</si>
  <si>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</si>
  <si>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</si>
  <si>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</si>
  <si>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</si>
  <si>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</si>
  <si>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</si>
  <si>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</si>
  <si>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</si>
  <si>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</si>
  <si>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</si>
  <si>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</si>
  <si>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</si>
  <si>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</si>
  <si>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</si>
  <si>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</si>
  <si>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</si>
  <si>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</si>
  <si>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</si>
  <si>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</si>
  <si>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</si>
  <si>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</si>
  <si>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</si>
  <si>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</si>
  <si>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</si>
  <si>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</si>
  <si>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</si>
  <si>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</si>
  <si>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</si>
  <si>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</si>
  <si>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</si>
  <si>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</si>
  <si>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</si>
  <si>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</si>
  <si>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</si>
  <si>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</si>
  <si>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</si>
  <si>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</si>
  <si>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</si>
  <si>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</si>
  <si>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</si>
  <si>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</si>
  <si>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</si>
  <si>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</si>
  <si>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</si>
  <si>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</si>
  <si>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</si>
  <si>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</si>
  <si>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</si>
  <si>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</si>
  <si>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</si>
  <si>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</si>
  <si>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</si>
  <si>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</si>
  <si>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</si>
  <si>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</si>
  <si>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</si>
  <si>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</si>
  <si>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</si>
  <si>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</si>
  <si>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</si>
  <si>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</si>
  <si>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</si>
  <si>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</si>
  <si>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</si>
  <si>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</si>
  <si>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</si>
  <si>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</si>
  <si>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</si>
  <si>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</si>
  <si>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</si>
  <si>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</si>
  <si>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</si>
  <si>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</si>
  <si>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</si>
  <si>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</si>
  <si>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</si>
  <si>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</si>
  <si>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</si>
  <si>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</si>
  <si>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</si>
  <si>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</si>
  <si>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</si>
  <si>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</si>
  <si>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</si>
  <si>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</si>
  <si>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</si>
  <si>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</si>
  <si>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</si>
  <si>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</si>
  <si>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</si>
  <si>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</si>
  <si>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</si>
  <si>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</si>
  <si>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</si>
  <si>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</si>
  <si>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</si>
  <si>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</si>
  <si>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</si>
  <si>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</si>
  <si>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</si>
  <si>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</si>
  <si>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</si>
  <si>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</si>
  <si>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</si>
  <si>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</si>
  <si>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</si>
  <si>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</si>
  <si>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</si>
  <si>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</si>
  <si>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</si>
  <si>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</si>
  <si>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</si>
  <si>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</si>
  <si>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</si>
  <si>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</si>
  <si>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</si>
  <si>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</si>
  <si>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</si>
  <si>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</si>
  <si>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</si>
  <si>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</si>
  <si>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</si>
  <si>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</si>
  <si>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</si>
  <si>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</si>
  <si>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</si>
  <si>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</si>
  <si>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</si>
  <si>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</si>
  <si>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</si>
  <si>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</si>
  <si>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</si>
  <si>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</si>
  <si>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</si>
  <si>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</si>
  <si>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</si>
  <si>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</si>
  <si>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</si>
  <si>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</si>
  <si>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</si>
  <si>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</si>
  <si>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</si>
  <si>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</si>
  <si>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</si>
  <si>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</si>
  <si>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</si>
  <si>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</si>
  <si>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</si>
  <si>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</si>
  <si>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</si>
  <si>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</si>
  <si>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</si>
  <si>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</si>
  <si>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</si>
  <si>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</si>
  <si>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</si>
  <si>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</si>
  <si>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</si>
  <si>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</si>
  <si>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</si>
  <si>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</si>
  <si>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</si>
  <si>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</si>
  <si>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</si>
  <si>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</si>
  <si>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</si>
  <si>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</si>
  <si>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</si>
  <si>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</si>
  <si>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</si>
  <si>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</si>
  <si>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</si>
  <si>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</si>
  <si>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</si>
  <si>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</si>
  <si>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</si>
  <si>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</si>
  <si>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</si>
  <si>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</si>
  <si>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</si>
  <si>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</si>
  <si>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</si>
  <si>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</si>
  <si>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</si>
  <si>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</si>
  <si>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</si>
  <si>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</si>
  <si>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</si>
  <si>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</si>
  <si>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</si>
  <si>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</si>
  <si>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</si>
  <si>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</si>
  <si>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</si>
  <si>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</si>
  <si>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</si>
  <si>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</si>
  <si>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</si>
  <si>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</si>
  <si>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</si>
  <si>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</si>
  <si>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</si>
  <si>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</si>
  <si>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</si>
  <si>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</si>
  <si>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</si>
  <si>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</si>
  <si>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</si>
  <si>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</si>
  <si>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</si>
  <si>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</si>
  <si>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</si>
  <si>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</si>
  <si>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</si>
  <si>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</si>
  <si>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</si>
  <si>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</si>
  <si>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</si>
  <si>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</si>
  <si>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</si>
  <si>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</si>
  <si>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</si>
  <si>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</si>
  <si>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</si>
  <si>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</si>
  <si>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</si>
  <si>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</si>
  <si>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</si>
  <si>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</si>
  <si>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</si>
  <si>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</si>
  <si>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</si>
  <si>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</si>
  <si>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</si>
  <si>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</si>
  <si>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</si>
  <si>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</si>
  <si>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</si>
  <si>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</si>
  <si>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</si>
  <si>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</si>
  <si>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</si>
  <si>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</si>
  <si>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</si>
  <si>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</si>
  <si>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</si>
  <si>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</si>
  <si>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</si>
  <si>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</si>
  <si>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</si>
  <si>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</si>
  <si>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</si>
  <si>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</si>
  <si>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</si>
  <si>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</si>
  <si>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</si>
  <si>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</si>
  <si>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</si>
  <si>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</si>
  <si>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</si>
  <si>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</si>
  <si>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</si>
  <si>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</si>
  <si>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</si>
  <si>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</si>
  <si>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</si>
  <si>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</si>
  <si>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</si>
  <si>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</si>
  <si>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</si>
  <si>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</si>
  <si>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</si>
  <si>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</si>
  <si>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</si>
  <si>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</si>
  <si>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</si>
  <si>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</si>
  <si>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</si>
  <si>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</si>
  <si>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</si>
  <si>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</si>
  <si>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</si>
  <si>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</si>
  <si>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</si>
  <si>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</si>
  <si>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</si>
  <si>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</si>
  <si>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</si>
  <si>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</si>
  <si>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</si>
  <si>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</si>
  <si>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</si>
  <si>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</si>
  <si>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</si>
  <si>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</si>
  <si>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</si>
  <si>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</si>
  <si>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</si>
  <si>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</si>
  <si>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</si>
  <si>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</si>
  <si>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</si>
  <si>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</si>
  <si>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</si>
  <si>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</si>
  <si>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</si>
  <si>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</si>
  <si>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</si>
  <si>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</si>
  <si>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</si>
  <si>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</si>
  <si>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</si>
  <si>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</si>
  <si>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</si>
  <si>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</si>
  <si>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</si>
  <si>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</si>
  <si>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</si>
  <si>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</si>
  <si>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</si>
  <si>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</si>
  <si>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</si>
  <si>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</si>
  <si>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</si>
  <si>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</si>
  <si>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</si>
  <si>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</si>
  <si>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</si>
  <si>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</si>
  <si>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</si>
  <si>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</si>
  <si>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</si>
  <si>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</si>
  <si>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</si>
  <si>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</si>
  <si>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</si>
  <si>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</si>
  <si>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</si>
  <si>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</si>
  <si>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</si>
  <si>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</si>
  <si>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</si>
  <si>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</si>
  <si>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</si>
  <si>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</si>
  <si>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</si>
  <si>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</si>
  <si>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</si>
  <si>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</si>
  <si>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</si>
  <si>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</si>
  <si>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</si>
  <si>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</si>
  <si>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</si>
  <si>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</si>
  <si>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</si>
  <si>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</si>
  <si>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</si>
  <si>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</si>
  <si>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</si>
  <si>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</si>
  <si>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</si>
  <si>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</si>
  <si>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</si>
  <si>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</si>
  <si>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</si>
  <si>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</si>
  <si>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</si>
  <si>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</si>
  <si>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</si>
  <si>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</si>
  <si>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</si>
  <si>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</si>
  <si>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</si>
  <si>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</si>
  <si>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</si>
  <si>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</si>
  <si>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</si>
  <si>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</si>
  <si>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</si>
  <si>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</si>
  <si>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</si>
  <si>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</si>
  <si>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</si>
  <si>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</si>
  <si>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</si>
  <si>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</si>
  <si>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</si>
  <si>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</si>
  <si>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</si>
  <si>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</si>
  <si>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</si>
  <si>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</si>
  <si>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</si>
  <si>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</si>
  <si>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</si>
  <si>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</si>
  <si>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</si>
  <si>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</si>
  <si>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</si>
  <si>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</si>
  <si>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</si>
  <si>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</si>
  <si>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</si>
  <si>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</si>
  <si>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</si>
  <si>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</si>
  <si>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</si>
  <si>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</si>
  <si>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</si>
  <si>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</si>
  <si>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</si>
  <si>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</si>
  <si>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</si>
  <si>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</si>
  <si>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</si>
  <si>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</si>
  <si>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</si>
  <si>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</si>
  <si>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</si>
  <si>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</si>
  <si>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</si>
  <si>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</si>
  <si>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</si>
  <si>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</si>
  <si>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</si>
  <si>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</si>
  <si>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</si>
  <si>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</si>
  <si>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</si>
  <si>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</si>
  <si>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</si>
  <si>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</si>
  <si>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</si>
  <si>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</si>
  <si>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</si>
  <si>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</si>
  <si>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</si>
  <si>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</si>
  <si>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</si>
  <si>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</si>
  <si>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</si>
  <si>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</si>
  <si>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</si>
  <si>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</si>
  <si>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</si>
  <si>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</si>
  <si>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</si>
  <si>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</si>
  <si>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</si>
  <si>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</si>
  <si>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</si>
  <si>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</si>
  <si>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</si>
  <si>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</si>
  <si>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</si>
  <si>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</si>
  <si>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</si>
  <si>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</si>
  <si>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</si>
  <si>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</si>
  <si>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</si>
  <si>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</si>
  <si>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</si>
  <si>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</si>
  <si>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</si>
  <si>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</si>
  <si>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</si>
  <si>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</si>
  <si>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</si>
  <si>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</si>
  <si>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</si>
  <si>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</si>
  <si>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</si>
  <si>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</si>
  <si>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</si>
  <si>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</si>
  <si>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</si>
  <si>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</si>
  <si>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</si>
  <si>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</si>
  <si>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</si>
  <si>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</si>
  <si>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</si>
  <si>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</si>
  <si>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</si>
  <si>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</si>
  <si>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</si>
  <si>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</si>
  <si>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</si>
  <si>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</si>
  <si>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</si>
  <si>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</si>
  <si>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</si>
  <si>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</si>
  <si>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</si>
  <si>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</si>
  <si>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</si>
  <si>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</si>
  <si>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</si>
  <si>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</si>
  <si>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</si>
  <si>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</si>
  <si>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</si>
  <si>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</si>
  <si>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</si>
  <si>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</si>
  <si>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</si>
  <si>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</si>
  <si>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</si>
  <si>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</si>
  <si>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</si>
  <si>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</si>
  <si>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</si>
  <si>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</si>
  <si>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</si>
  <si>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</si>
  <si>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</si>
  <si>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</si>
  <si>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</si>
  <si>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</si>
  <si>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</si>
  <si>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</si>
  <si>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</si>
  <si>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</si>
  <si>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</si>
  <si>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</si>
  <si>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</si>
  <si>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</si>
  <si>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</si>
  <si>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</si>
  <si>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</si>
  <si>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</si>
  <si>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</si>
  <si>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</si>
  <si>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</si>
  <si>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</si>
  <si>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</si>
  <si>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</si>
  <si>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</si>
  <si>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</si>
  <si>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</si>
  <si>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</si>
  <si>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</si>
  <si>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</si>
  <si>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</si>
  <si>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</si>
  <si>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</si>
  <si>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</si>
  <si>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</si>
  <si>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</si>
  <si>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</si>
  <si>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</si>
  <si>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</si>
  <si>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</si>
  <si>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</si>
  <si>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</si>
  <si>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</si>
  <si>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</si>
  <si>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</si>
  <si>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</si>
  <si>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</si>
  <si>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229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</si>
  <si>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</si>
  <si>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</si>
  <si>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</si>
  <si>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</si>
  <si>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</si>
  <si>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</si>
  <si>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</si>
  <si>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</si>
  <si>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</si>
  <si>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</si>
  <si>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</si>
  <si>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</si>
  <si>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</si>
  <si>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</si>
  <si>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</si>
  <si>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</si>
  <si>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</si>
  <si>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</si>
  <si>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</si>
  <si>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</si>
  <si>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</si>
  <si>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</si>
  <si>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</si>
  <si>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</si>
  <si>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</si>
  <si>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</si>
  <si>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</si>
  <si>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</si>
  <si>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</si>
  <si>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</si>
  <si>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</si>
  <si>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</si>
  <si>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</si>
  <si>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</si>
  <si>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</si>
  <si>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</si>
  <si>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</si>
  <si>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</si>
  <si>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</si>
  <si>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</si>
  <si>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</si>
  <si>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</si>
  <si>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</si>
  <si>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</si>
  <si>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</si>
  <si>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</si>
  <si>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</si>
  <si>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</si>
  <si>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</si>
  <si>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</si>
  <si>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</si>
  <si>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</si>
  <si>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</si>
  <si>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</si>
  <si>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</si>
  <si>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</si>
  <si>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</si>
  <si>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</si>
  <si>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</si>
  <si>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</si>
  <si>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</si>
  <si>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</si>
  <si>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</si>
  <si>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</si>
  <si>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</si>
  <si>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</si>
  <si>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</si>
  <si>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</si>
  <si>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</si>
  <si>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</si>
  <si>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</si>
  <si>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</si>
  <si>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</si>
  <si>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</si>
  <si>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</si>
  <si>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</si>
  <si>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</si>
  <si>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</si>
  <si>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</si>
  <si>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</si>
  <si>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</si>
  <si>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</si>
  <si>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</si>
  <si>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</si>
  <si>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</si>
  <si>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</si>
  <si>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</si>
  <si>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</si>
  <si>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</si>
  <si>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</si>
  <si>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</si>
  <si>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</si>
  <si>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</si>
  <si>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</si>
  <si>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</si>
  <si>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</si>
  <si>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</si>
  <si>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</si>
  <si>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</si>
  <si>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</si>
  <si>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</si>
  <si>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</si>
  <si>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</si>
  <si>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</si>
  <si>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</si>
  <si>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</si>
  <si>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</si>
  <si>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</si>
  <si>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</si>
  <si>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</si>
  <si>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</si>
  <si>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</si>
  <si>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</si>
  <si>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</si>
  <si>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</si>
  <si>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</si>
  <si>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</si>
  <si>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</si>
  <si>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</si>
  <si>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</si>
  <si>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</si>
  <si>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</si>
  <si>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</si>
  <si>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</si>
  <si>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</si>
  <si>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</si>
  <si>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</si>
  <si>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</si>
  <si>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</si>
  <si>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</si>
  <si>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</si>
  <si>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</si>
  <si>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</si>
  <si>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</si>
  <si>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</si>
  <si>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</si>
  <si>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</si>
  <si>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</si>
  <si>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</si>
  <si>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</si>
  <si>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</si>
  <si>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</si>
  <si>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</si>
  <si>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</si>
  <si>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</si>
  <si>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</si>
  <si>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</si>
  <si>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</si>
  <si>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</si>
  <si>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</si>
  <si>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</si>
  <si>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</si>
  <si>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</si>
  <si>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</si>
  <si>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</si>
  <si>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</si>
  <si>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</si>
  <si>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</si>
  <si>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</si>
  <si>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</si>
  <si>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</si>
  <si>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</si>
  <si>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</si>
  <si>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</si>
  <si>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</si>
  <si>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</si>
  <si>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</si>
  <si>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</si>
  <si>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</si>
  <si>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</si>
  <si>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</si>
  <si>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</si>
  <si>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</si>
  <si>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</si>
  <si>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</si>
  <si>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</si>
  <si>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</si>
  <si>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</si>
  <si>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</si>
  <si>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</si>
  <si>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</si>
  <si>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</si>
  <si>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</si>
  <si>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</si>
  <si>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</si>
  <si>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</si>
  <si>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</si>
  <si>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</si>
  <si>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</si>
  <si>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</si>
  <si>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</si>
  <si>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</si>
  <si>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</si>
  <si>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</si>
  <si>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</si>
  <si>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</si>
  <si>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</si>
  <si>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</si>
  <si>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</si>
  <si>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</si>
  <si>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</si>
  <si>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</si>
  <si>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</si>
  <si>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</si>
  <si>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</si>
  <si>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</si>
  <si>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</si>
  <si>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</si>
  <si>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</si>
  <si>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</si>
  <si>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</si>
  <si>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</si>
  <si>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</si>
  <si>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</si>
  <si>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</si>
  <si>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</si>
  <si>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</si>
  <si>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</si>
  <si>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</si>
  <si>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</si>
  <si>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</si>
  <si>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</si>
  <si>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</si>
  <si>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</si>
  <si>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</si>
  <si>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</si>
  <si>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</si>
  <si>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</si>
  <si>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</si>
  <si>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</si>
  <si>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</si>
  <si>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</si>
  <si>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</si>
  <si>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</si>
  <si>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</si>
  <si>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</si>
  <si>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</si>
  <si>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</si>
  <si>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</si>
  <si>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</si>
  <si>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</si>
  <si>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</si>
  <si>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</si>
  <si>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</si>
  <si>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</si>
  <si>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</si>
  <si>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</si>
  <si>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</si>
  <si>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</si>
  <si>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</si>
  <si>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</si>
  <si>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</si>
  <si>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</si>
  <si>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</si>
  <si>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</si>
  <si>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</si>
  <si>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</si>
  <si>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</si>
  <si>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</si>
  <si>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</si>
  <si>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</si>
  <si>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</si>
  <si>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</si>
  <si>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</si>
  <si>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</si>
  <si>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</si>
  <si>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</si>
  <si>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</si>
  <si>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</si>
  <si>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</si>
  <si>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</si>
  <si>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</si>
  <si>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</si>
  <si>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</si>
  <si>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</si>
  <si>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</si>
  <si>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</si>
  <si>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</si>
  <si>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</si>
  <si>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</si>
  <si>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</si>
  <si>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</si>
  <si>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</si>
  <si>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</si>
  <si>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</si>
  <si>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</si>
  <si>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</si>
  <si>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</si>
  <si>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</si>
  <si>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</si>
  <si>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</si>
  <si>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</si>
  <si>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</si>
  <si>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</si>
  <si>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</si>
  <si>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</si>
  <si>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</si>
  <si>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</si>
  <si>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</si>
  <si>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</si>
  <si>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</si>
  <si>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</si>
  <si>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</si>
  <si>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</si>
  <si>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</si>
  <si>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</si>
  <si>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</si>
  <si>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</si>
  <si>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</si>
  <si>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</si>
  <si>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</si>
  <si>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</si>
  <si>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</si>
  <si>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</si>
  <si>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</si>
  <si>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</si>
  <si>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</si>
  <si>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</si>
  <si>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</si>
  <si>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</si>
  <si>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</si>
  <si>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</si>
  <si>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</si>
  <si>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</si>
  <si>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</si>
  <si>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</si>
  <si>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</si>
  <si>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</si>
  <si>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</si>
  <si>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</si>
  <si>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</si>
  <si>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</si>
  <si>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</si>
  <si>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</si>
  <si>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</si>
  <si>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</si>
  <si>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</si>
  <si>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</si>
  <si>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</si>
  <si>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</si>
  <si>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</si>
  <si>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</si>
  <si>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</si>
  <si>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</si>
  <si>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</si>
  <si>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</si>
  <si>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</si>
  <si>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</si>
  <si>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</si>
  <si>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</si>
  <si>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</si>
  <si>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</si>
  <si>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</si>
  <si>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</si>
  <si>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</si>
  <si>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</si>
  <si>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</si>
  <si>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</si>
  <si>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</si>
  <si>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</si>
  <si>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</si>
  <si>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</si>
  <si>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</si>
  <si>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</si>
  <si>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</si>
  <si>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</si>
  <si>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</si>
  <si>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</si>
  <si>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</si>
  <si>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</si>
  <si>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</si>
  <si>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</si>
  <si>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</si>
  <si>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</si>
  <si>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</si>
  <si>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</si>
  <si>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</si>
  <si>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</si>
  <si>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</si>
  <si>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</si>
  <si>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</si>
  <si>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</si>
  <si>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</si>
  <si>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</si>
  <si>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</si>
  <si>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</si>
  <si>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</si>
  <si>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</si>
  <si>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</si>
  <si>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</si>
  <si>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</si>
  <si>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</si>
  <si>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</si>
  <si>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</si>
  <si>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</si>
  <si>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</si>
  <si>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</si>
  <si>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</si>
  <si>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</si>
  <si>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</si>
  <si>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</si>
  <si>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</si>
  <si>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</si>
  <si>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</si>
  <si>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</si>
  <si>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</si>
  <si>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</si>
  <si>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</si>
  <si>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</si>
  <si>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</si>
  <si>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</si>
  <si>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</si>
  <si>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</si>
  <si>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</si>
  <si>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</si>
  <si>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</si>
  <si>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</si>
  <si>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</si>
  <si>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</si>
  <si>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</si>
  <si>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</si>
  <si>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</si>
  <si>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</si>
  <si>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</si>
  <si>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</si>
  <si>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</si>
  <si>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</si>
  <si>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</si>
  <si>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</si>
  <si>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</si>
  <si>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</si>
  <si>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</si>
  <si>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</si>
  <si>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</si>
  <si>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</si>
  <si>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</si>
  <si>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</si>
  <si>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</si>
  <si>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</si>
  <si>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</si>
  <si>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</si>
  <si>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</si>
  <si>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</si>
  <si>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</si>
  <si>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</si>
  <si>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</si>
  <si>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</si>
  <si>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</si>
  <si>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</si>
  <si>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</si>
  <si>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</si>
  <si>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</si>
  <si>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</si>
  <si>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</si>
  <si>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</si>
  <si>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</si>
  <si>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</si>
  <si>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</si>
  <si>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</si>
  <si>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</si>
  <si>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</si>
  <si>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</si>
  <si>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</si>
  <si>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</si>
  <si>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</si>
  <si>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</si>
  <si>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</si>
  <si>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</si>
  <si>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</si>
  <si>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</si>
  <si>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</si>
  <si>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</si>
  <si>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</si>
  <si>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</si>
  <si>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</si>
  <si>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</si>
  <si>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</si>
  <si>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</si>
  <si>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</si>
  <si>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</si>
  <si>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</si>
  <si>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</si>
  <si>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</si>
  <si>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</si>
  <si>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</si>
  <si>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</si>
  <si>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</si>
  <si>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</si>
  <si>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</si>
  <si>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</si>
  <si>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</si>
  <si>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</si>
  <si>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</si>
  <si>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</si>
  <si>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</si>
  <si>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</si>
  <si>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</si>
  <si>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</si>
  <si>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</si>
  <si>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</si>
  <si>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</si>
  <si>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</si>
  <si>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</si>
  <si>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</si>
  <si>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</si>
  <si>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</si>
  <si>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</si>
  <si>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</si>
  <si>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</si>
  <si>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</si>
  <si>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</si>
  <si>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</si>
  <si>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</si>
  <si>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</si>
  <si>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</si>
  <si>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</si>
  <si>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</si>
  <si>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</si>
  <si>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</si>
  <si>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</si>
  <si>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</si>
  <si>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</si>
  <si>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</si>
  <si>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</si>
  <si>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</si>
  <si>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</si>
  <si>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</si>
  <si>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</si>
  <si>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</si>
  <si>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</si>
  <si>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</si>
  <si>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</si>
  <si>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</si>
  <si>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</si>
  <si>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</si>
  <si>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</si>
  <si>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</si>
  <si>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</si>
  <si>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</si>
  <si>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</si>
  <si>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</si>
  <si>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</si>
  <si>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</si>
  <si>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</si>
  <si>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</si>
  <si>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</si>
  <si>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</si>
  <si>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</si>
  <si>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</si>
  <si>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</si>
  <si>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</si>
  <si>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</si>
  <si>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</si>
  <si>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</si>
  <si>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</si>
  <si>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</si>
  <si>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</si>
  <si>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</si>
  <si>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</si>
  <si>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</si>
  <si>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</si>
  <si>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</si>
  <si>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</si>
  <si>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</si>
  <si>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</si>
  <si>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</si>
  <si>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</si>
  <si>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</si>
  <si>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</si>
  <si>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</si>
  <si>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</si>
  <si>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</si>
  <si>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</si>
  <si>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</si>
  <si>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</si>
  <si>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</si>
  <si>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</si>
  <si>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</si>
  <si>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</si>
  <si>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</si>
  <si>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</si>
  <si>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</si>
  <si>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</si>
  <si>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</si>
  <si>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</si>
  <si>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</si>
  <si>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</si>
  <si>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</si>
  <si>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</si>
  <si>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</si>
  <si>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</si>
  <si>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</si>
  <si>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</si>
  <si>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</si>
  <si>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</si>
  <si>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</si>
  <si>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</si>
  <si>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</si>
  <si>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</si>
  <si>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</si>
  <si>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</si>
  <si>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</si>
  <si>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</si>
  <si>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</si>
  <si>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</si>
  <si>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</si>
  <si>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</si>
  <si>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</si>
  <si>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</si>
  <si>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</si>
  <si>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</si>
  <si>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</si>
  <si>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</si>
  <si>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</si>
  <si>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</si>
  <si>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</si>
  <si>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</si>
  <si>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</si>
  <si>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</si>
  <si>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</si>
  <si>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</si>
  <si>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</si>
  <si>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</si>
  <si>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</si>
  <si>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</si>
  <si>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</si>
  <si>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</si>
  <si>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</si>
  <si>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</si>
  <si>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</si>
  <si>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</si>
  <si>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</si>
  <si>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</si>
  <si>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</si>
  <si>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</si>
  <si>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</si>
  <si>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</si>
  <si>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</si>
  <si>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</si>
  <si>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</si>
  <si>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</si>
  <si>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</si>
  <si>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</si>
  <si>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</si>
  <si>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</si>
  <si>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</si>
  <si>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</si>
  <si>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</si>
  <si>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</si>
  <si>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</si>
  <si>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</si>
  <si>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</si>
  <si>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</si>
  <si>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</si>
  <si>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</si>
  <si>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</si>
  <si>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</si>
  <si>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</si>
  <si>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</si>
  <si>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</si>
  <si>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</si>
  <si>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</si>
  <si>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</si>
  <si>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</si>
  <si>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</si>
  <si>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</si>
  <si>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</si>
  <si>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</si>
  <si>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</si>
  <si>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</si>
  <si>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</si>
  <si>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</si>
  <si>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</si>
  <si>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</si>
  <si>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</si>
  <si>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</si>
  <si>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</si>
  <si>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</si>
  <si>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</si>
  <si>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</si>
  <si>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</si>
  <si>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</si>
  <si>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</si>
  <si>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</si>
  <si>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</si>
  <si>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</si>
  <si>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</si>
  <si>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</si>
  <si>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</si>
  <si>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</si>
  <si>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</si>
  <si>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</si>
  <si>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</si>
  <si>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</si>
  <si>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</si>
  <si>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</si>
  <si>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</si>
  <si>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</si>
  <si>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</si>
  <si>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</si>
  <si>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</si>
  <si>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</si>
  <si>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</si>
  <si>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</si>
  <si>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</si>
  <si>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</si>
  <si>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</si>
  <si>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</si>
  <si>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</si>
  <si>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</si>
  <si>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</si>
  <si>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</si>
  <si>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</si>
  <si>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</si>
  <si>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</si>
  <si>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</si>
  <si>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</si>
  <si>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</si>
  <si>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</si>
  <si>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</si>
  <si>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</si>
  <si>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</si>
  <si>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</si>
  <si>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</si>
  <si>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</si>
  <si>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</si>
  <si>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</si>
  <si>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</si>
  <si>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</si>
  <si>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</si>
  <si>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</si>
  <si>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</si>
  <si>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</si>
  <si>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</si>
  <si>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</si>
  <si>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</si>
  <si>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</si>
  <si>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</si>
  <si>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</si>
  <si>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</si>
  <si>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</si>
  <si>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</si>
  <si>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</si>
  <si>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</si>
  <si>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</si>
  <si>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</si>
  <si>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</si>
  <si>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</si>
  <si>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</si>
  <si>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</si>
  <si>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</si>
  <si>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</si>
  <si>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</si>
  <si>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</si>
  <si>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</si>
  <si>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</si>
  <si>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</si>
  <si>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</si>
  <si>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</si>
  <si>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</si>
  <si>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</si>
  <si>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</si>
  <si>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</si>
  <si>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</si>
  <si>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</si>
  <si>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</si>
  <si>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</si>
  <si>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</si>
  <si>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</si>
  <si>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</si>
  <si>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</si>
  <si>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</si>
  <si>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</si>
  <si>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</si>
  <si>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</si>
  <si>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</si>
  <si>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</si>
  <si>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</si>
  <si>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</si>
  <si>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</si>
  <si>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</si>
  <si>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</si>
  <si>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</si>
  <si>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</si>
  <si>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</si>
  <si>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</si>
  <si>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</si>
  <si>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</si>
  <si>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</si>
  <si>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</si>
  <si>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</si>
  <si>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</si>
  <si>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</si>
  <si>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</si>
  <si>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</si>
  <si>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</si>
  <si>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</si>
  <si>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</si>
  <si>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</si>
  <si>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</si>
  <si>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</si>
  <si>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</si>
  <si>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</si>
  <si>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</si>
  <si>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</si>
  <si>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</si>
  <si>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</si>
  <si>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</si>
  <si>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</si>
  <si>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</si>
  <si>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</si>
  <si>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</si>
  <si>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</si>
  <si>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</si>
  <si>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</si>
  <si>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</si>
  <si>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</si>
  <si>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</si>
  <si>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</si>
  <si>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</si>
  <si>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</si>
  <si>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</si>
  <si>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</si>
  <si>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</si>
  <si>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</si>
  <si>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</si>
  <si>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</si>
  <si>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</si>
  <si>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</si>
  <si>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</si>
  <si>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</si>
  <si>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</si>
  <si>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</si>
  <si>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</si>
  <si>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</si>
  <si>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</si>
  <si>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</si>
  <si>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</si>
  <si>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</si>
  <si>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</si>
  <si>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</si>
  <si>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</si>
  <si>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</si>
  <si>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</si>
  <si>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</si>
  <si>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</si>
  <si>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</si>
  <si>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</si>
  <si>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</si>
  <si>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</si>
  <si>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</si>
  <si>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</si>
  <si>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</si>
  <si>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</si>
  <si>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</si>
  <si>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</si>
  <si>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</si>
  <si>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</si>
  <si>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</si>
  <si>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</si>
  <si>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</si>
  <si>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</si>
  <si>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</si>
  <si>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</si>
  <si>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</si>
  <si>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</si>
  <si>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</si>
  <si>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</si>
  <si>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</si>
  <si>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</si>
  <si>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</si>
  <si>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</si>
  <si>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</si>
  <si>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</si>
  <si>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</si>
  <si>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</si>
  <si>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</si>
  <si>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</si>
  <si>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</si>
  <si>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</si>
  <si>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</si>
  <si>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</si>
  <si>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</si>
  <si>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</si>
  <si>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</si>
  <si>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</si>
  <si>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</si>
  <si>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</si>
  <si>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</si>
  <si>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</si>
  <si>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</si>
  <si>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</si>
  <si>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</si>
  <si>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</si>
  <si>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</si>
  <si>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</si>
  <si>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</si>
  <si>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</si>
  <si>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</si>
  <si>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</si>
  <si>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</si>
  <si>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</si>
  <si>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</si>
  <si>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</si>
  <si>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</si>
  <si>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</si>
  <si>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</si>
  <si>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</si>
  <si>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</si>
  <si>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</si>
  <si>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</si>
  <si>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</si>
  <si>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</si>
  <si>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</si>
  <si>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</si>
  <si>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</si>
  <si>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</si>
  <si>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</si>
  <si>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</si>
  <si>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</si>
  <si>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</si>
  <si>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</si>
  <si>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</si>
  <si>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</si>
  <si>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</si>
  <si>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</si>
  <si>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</si>
  <si>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</si>
  <si>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</si>
  <si>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</si>
  <si>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</si>
  <si>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</si>
  <si>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</si>
  <si>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</si>
  <si>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</si>
  <si>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</si>
  <si>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</si>
  <si>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</si>
  <si>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</si>
  <si>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</si>
  <si>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</si>
  <si>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</si>
  <si>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</si>
  <si>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</si>
  <si>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</si>
  <si>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</si>
  <si>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</si>
  <si>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</si>
  <si>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</si>
  <si>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</si>
  <si>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</si>
  <si>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</si>
  <si>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</si>
  <si>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</si>
  <si>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</si>
  <si>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</si>
  <si>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</si>
  <si>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</si>
  <si>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</si>
  <si>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</si>
  <si>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</si>
  <si>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</si>
  <si>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</si>
  <si>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</si>
  <si>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</si>
  <si>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</si>
  <si>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</si>
  <si>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</si>
  <si>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</si>
  <si>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</si>
  <si>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</si>
  <si>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</si>
  <si>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</si>
  <si>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</si>
  <si>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</si>
  <si>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</si>
  <si>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</si>
  <si>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</si>
  <si>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</si>
  <si>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</si>
  <si>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</si>
  <si>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</si>
  <si>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</si>
  <si>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</si>
  <si>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</si>
  <si>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</si>
  <si>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</si>
  <si>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</si>
  <si>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</si>
  <si>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</si>
  <si>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</si>
  <si>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</si>
  <si>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</si>
  <si>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</si>
  <si>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</si>
  <si>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</si>
  <si>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</si>
  <si>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</si>
  <si>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</si>
  <si>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</si>
  <si>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</si>
  <si>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</si>
  <si>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</si>
  <si>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</si>
  <si>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</si>
  <si>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</si>
  <si>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</si>
  <si>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</si>
  <si>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</si>
  <si>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</si>
  <si>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</si>
  <si>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</si>
  <si>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</si>
  <si>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</si>
  <si>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</si>
  <si>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</si>
  <si>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</si>
  <si>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</si>
  <si>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</si>
  <si>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</si>
  <si>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</si>
  <si>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</si>
  <si>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</si>
  <si>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</si>
  <si>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</si>
  <si>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</si>
  <si>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</si>
  <si>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</si>
  <si>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</si>
  <si>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</si>
  <si>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</si>
  <si>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</si>
  <si>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</si>
  <si>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</si>
  <si>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</si>
  <si>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</si>
  <si>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</si>
  <si>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</si>
  <si>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</si>
  <si>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</si>
  <si>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</si>
  <si>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</si>
  <si>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</si>
  <si>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</si>
  <si>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</si>
  <si>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</si>
  <si>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</si>
  <si>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</si>
  <si>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</si>
  <si>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</si>
  <si>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</si>
  <si>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</si>
  <si>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</si>
  <si>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</si>
  <si>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</si>
  <si>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</si>
  <si>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</si>
  <si>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</si>
  <si>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</si>
  <si>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</si>
  <si>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</si>
  <si>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</si>
  <si>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</si>
  <si>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</si>
  <si>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</si>
  <si>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</si>
  <si>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</si>
  <si>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</si>
  <si>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</si>
  <si>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</si>
  <si>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</si>
  <si>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</si>
  <si>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</si>
  <si>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</si>
  <si>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</si>
  <si>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</si>
  <si>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</si>
  <si>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</si>
  <si>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</si>
  <si>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</si>
  <si>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</si>
  <si>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</si>
  <si>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</si>
  <si>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</si>
  <si>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</si>
  <si>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</si>
  <si>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</si>
  <si>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</si>
  <si>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</si>
  <si>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</si>
  <si>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</si>
  <si>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</si>
  <si>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</si>
  <si>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</si>
  <si>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</si>
  <si>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</si>
  <si>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</si>
  <si>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</si>
  <si>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</si>
  <si>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</si>
  <si>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</si>
  <si>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</si>
  <si>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</si>
  <si>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</si>
  <si>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</si>
  <si>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</si>
  <si>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</si>
  <si>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</si>
  <si>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</si>
  <si>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</si>
  <si>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</si>
  <si>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</si>
  <si>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</si>
  <si>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</si>
  <si>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</si>
  <si>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</si>
  <si>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</si>
  <si>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</si>
  <si>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</si>
  <si>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</si>
  <si>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</si>
  <si>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</si>
  <si>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</si>
  <si>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</si>
  <si>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</si>
  <si>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</si>
  <si>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</si>
  <si>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</si>
  <si>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</si>
  <si>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</si>
  <si>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</si>
  <si>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</si>
  <si>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</si>
  <si>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</si>
  <si>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</si>
  <si>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</si>
  <si>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</si>
  <si>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</si>
  <si>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</si>
  <si>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</si>
  <si>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</si>
  <si>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</si>
  <si>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</si>
  <si>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</si>
  <si>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</si>
  <si>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</si>
  <si>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</si>
  <si>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</si>
  <si>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</si>
  <si>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</si>
  <si>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</si>
  <si>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</si>
  <si>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</si>
  <si>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</si>
  <si>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</si>
  <si>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</si>
  <si>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</si>
  <si>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</si>
  <si>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</si>
  <si>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</si>
  <si>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</si>
  <si>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</si>
  <si>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</si>
  <si>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</si>
  <si>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</si>
  <si>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</si>
  <si>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</si>
  <si>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</si>
  <si>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</si>
  <si>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</si>
  <si>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</si>
  <si>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</si>
  <si>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</si>
  <si>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</si>
  <si>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</si>
  <si>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</si>
  <si>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</si>
  <si>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</si>
  <si>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</si>
  <si>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</si>
  <si>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</si>
  <si>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</si>
  <si>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</si>
  <si>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</si>
  <si>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</si>
  <si>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</si>
  <si>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</si>
  <si>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</si>
  <si>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</si>
  <si>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</si>
  <si>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</si>
  <si>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</si>
  <si>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</si>
  <si>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</si>
  <si>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</si>
  <si>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</si>
  <si>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</si>
  <si>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</si>
  <si>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</si>
  <si>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</si>
  <si>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</si>
  <si>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</si>
  <si>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</si>
  <si>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</si>
  <si>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</si>
  <si>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</si>
  <si>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</si>
  <si>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</si>
  <si>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</si>
  <si>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</si>
  <si>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</si>
  <si>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</si>
  <si>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</si>
  <si>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</si>
  <si>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</si>
  <si>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</si>
  <si>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</si>
  <si>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</si>
  <si>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</si>
  <si>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</si>
  <si>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</si>
  <si>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</si>
  <si>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</si>
  <si>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</si>
  <si>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</si>
  <si>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</si>
  <si>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</si>
  <si>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</si>
  <si>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</si>
  <si>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</si>
  <si>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</si>
  <si>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</si>
  <si>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</si>
  <si>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</si>
  <si>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</si>
  <si>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</si>
  <si>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</si>
  <si>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</si>
  <si>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</si>
  <si>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</si>
  <si>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</si>
  <si>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</si>
  <si>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</si>
  <si>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</si>
  <si>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</si>
  <si>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</si>
  <si>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</si>
  <si>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</si>
  <si>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</si>
  <si>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</si>
  <si>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</si>
  <si>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</si>
  <si>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</si>
  <si>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</si>
  <si>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</si>
  <si>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</si>
  <si>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</si>
  <si>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</si>
  <si>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</si>
  <si>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</si>
  <si>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</si>
  <si>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</si>
  <si>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</si>
  <si>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</si>
  <si>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</si>
  <si>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</si>
  <si>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</si>
  <si>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</si>
  <si>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</si>
  <si>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</si>
  <si>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</si>
  <si>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</si>
  <si>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</si>
  <si>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</si>
  <si>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</si>
  <si>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</si>
  <si>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</si>
  <si>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</si>
  <si>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</si>
  <si>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</si>
  <si>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</si>
  <si>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</si>
  <si>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</si>
  <si>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</si>
  <si>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</si>
  <si>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</si>
  <si>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</si>
  <si>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</si>
  <si>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</si>
  <si>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</si>
  <si>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</si>
  <si>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</si>
  <si>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</si>
  <si>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</si>
  <si>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</si>
  <si>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</si>
  <si>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</si>
  <si>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</si>
  <si>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</si>
  <si>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</si>
  <si>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</si>
  <si>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</si>
  <si>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</si>
  <si>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</si>
  <si>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</si>
  <si>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</si>
  <si>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</si>
  <si>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</si>
  <si>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</si>
  <si>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</si>
  <si>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</si>
  <si>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</si>
  <si>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</si>
  <si>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</si>
  <si>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</si>
  <si>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</si>
  <si>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</si>
  <si>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</si>
  <si>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</si>
  <si>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</si>
  <si>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</si>
  <si>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</si>
  <si>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</si>
  <si>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</si>
  <si>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</si>
  <si>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</si>
  <si>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</si>
  <si>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</si>
  <si>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</si>
  <si>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</si>
  <si>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</si>
  <si>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</si>
  <si>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</si>
  <si>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</si>
  <si>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</si>
  <si>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</si>
  <si>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</si>
  <si>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</si>
  <si>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</si>
  <si>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</si>
  <si>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</si>
  <si>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</si>
  <si>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</si>
  <si>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</si>
  <si>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</si>
  <si>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</si>
  <si>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</si>
  <si>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</si>
  <si>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</si>
  <si>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</si>
  <si>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</si>
  <si>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</si>
  <si>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</si>
  <si>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</si>
  <si>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</si>
  <si>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</si>
  <si>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</si>
  <si>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</si>
  <si>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</si>
  <si>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</si>
  <si>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</si>
  <si>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</si>
  <si>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</si>
  <si>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</si>
  <si>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</si>
  <si>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</si>
  <si>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</si>
  <si>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</si>
  <si>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</si>
  <si>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</si>
  <si>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</si>
  <si>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</si>
  <si>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</si>
  <si>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</si>
  <si>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</si>
  <si>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</si>
  <si>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</si>
  <si>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</si>
  <si>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</si>
  <si>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</si>
  <si>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</si>
  <si>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</si>
  <si>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</si>
  <si>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</si>
  <si>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</si>
  <si>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</si>
  <si>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</si>
  <si>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</si>
  <si>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</si>
  <si>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</si>
  <si>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</si>
  <si>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</si>
  <si>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</si>
  <si>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</si>
  <si>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</si>
  <si>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</si>
  <si>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</si>
  <si>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</si>
  <si>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</si>
  <si>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</si>
  <si>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</si>
  <si>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</si>
  <si>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</si>
  <si>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</si>
  <si>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</si>
  <si>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</si>
  <si>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</si>
  <si>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</si>
  <si>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</si>
  <si>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</si>
  <si>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</si>
  <si>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</si>
  <si>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</si>
  <si>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</si>
  <si>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</si>
  <si>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</si>
  <si>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</si>
  <si>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</si>
  <si>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</si>
  <si>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</si>
  <si>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</si>
  <si>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</si>
  <si>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</si>
  <si>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</si>
  <si>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</si>
  <si>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</si>
  <si>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</si>
  <si>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</si>
  <si>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</si>
  <si>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</si>
  <si>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</si>
  <si>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</si>
  <si>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</si>
  <si>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</si>
  <si>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</si>
  <si>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</si>
  <si>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</si>
  <si>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</si>
  <si>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</si>
  <si>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</si>
  <si>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</si>
  <si>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</si>
  <si>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</si>
  <si>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</si>
  <si>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</si>
  <si>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</si>
  <si>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</si>
  <si>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</si>
  <si>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</si>
  <si>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</si>
  <si>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</si>
  <si>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</si>
  <si>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</si>
  <si>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</si>
  <si>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</si>
  <si>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</si>
  <si>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</si>
  <si>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</si>
  <si>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</si>
  <si>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</si>
  <si>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</si>
  <si>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</si>
  <si>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</si>
  <si>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</si>
  <si>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</si>
  <si>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</si>
  <si>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</si>
  <si>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</si>
  <si>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</si>
  <si>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</si>
  <si>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</si>
  <si>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</si>
  <si>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</si>
  <si>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</si>
  <si>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</si>
  <si>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</si>
  <si>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</si>
  <si>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</si>
  <si>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</si>
  <si>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</si>
  <si>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</si>
  <si>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</si>
  <si>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</si>
  <si>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</si>
  <si>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</si>
  <si>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</si>
  <si>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</si>
  <si>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</si>
  <si>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</si>
  <si>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</si>
  <si>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</si>
  <si>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</si>
  <si>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</si>
  <si>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</si>
  <si>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</si>
  <si>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</si>
  <si>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</si>
  <si>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</si>
  <si>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</si>
  <si>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</si>
  <si>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</si>
  <si>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</si>
  <si>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</si>
  <si>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</si>
  <si>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</si>
  <si>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</si>
  <si>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</si>
  <si>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</si>
  <si>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</si>
  <si>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</si>
  <si>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</si>
  <si>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</si>
  <si>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</si>
  <si>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</si>
  <si>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</si>
  <si>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</si>
  <si>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</si>
  <si>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</si>
  <si>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</si>
  <si>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</si>
  <si>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</si>
  <si>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</si>
  <si>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</si>
  <si>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</si>
  <si>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</si>
  <si>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</si>
  <si>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</si>
  <si>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</si>
  <si>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</si>
  <si>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</si>
  <si>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</si>
  <si>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</si>
  <si>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</si>
  <si>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</si>
  <si>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</si>
  <si>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</si>
  <si>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</si>
  <si>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</si>
  <si>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</si>
  <si>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</si>
  <si>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</si>
  <si>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</si>
  <si>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</si>
  <si>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</si>
  <si>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</si>
  <si>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</si>
  <si>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</si>
  <si>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</si>
  <si>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</si>
  <si>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</si>
  <si>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</si>
  <si>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</si>
  <si>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</si>
  <si>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</si>
  <si>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</si>
  <si>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</si>
  <si>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</si>
  <si>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</si>
  <si>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</si>
  <si>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</si>
  <si>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</si>
  <si>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</si>
  <si>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</si>
  <si>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</si>
  <si>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</si>
  <si>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</si>
  <si>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</si>
  <si>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</si>
  <si>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</si>
  <si>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</si>
  <si>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</si>
  <si>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</si>
  <si>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</si>
  <si>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</si>
  <si>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</si>
  <si>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</si>
  <si>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</si>
  <si>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</si>
  <si>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</si>
  <si>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</si>
  <si>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</si>
  <si>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</si>
  <si>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</si>
  <si>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</si>
  <si>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</si>
  <si>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</si>
  <si>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</si>
  <si>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</si>
  <si>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</si>
  <si>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</si>
  <si>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</si>
  <si>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</si>
  <si>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</si>
  <si>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</si>
  <si>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</si>
  <si>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</si>
  <si>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</si>
  <si>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</si>
  <si>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</si>
  <si>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</si>
  <si>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</si>
  <si>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</si>
  <si>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</si>
  <si>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</si>
  <si>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</si>
  <si>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</si>
  <si>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</si>
  <si>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</si>
  <si>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</si>
  <si>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</si>
  <si>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</si>
  <si>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</si>
  <si>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</si>
  <si>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</si>
  <si>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</si>
  <si>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</si>
  <si>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</si>
  <si>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</si>
  <si>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</si>
  <si>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</si>
  <si>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</si>
  <si>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</si>
  <si>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</si>
  <si>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</si>
  <si>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</si>
  <si>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</si>
  <si>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</si>
  <si>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</si>
  <si>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</si>
  <si>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</si>
  <si>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</si>
  <si>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</si>
  <si>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</si>
  <si>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</si>
  <si>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</si>
  <si>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</si>
  <si>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</si>
  <si>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</si>
  <si>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</si>
  <si>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</si>
  <si>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</si>
  <si>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</si>
  <si>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</si>
  <si>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</si>
  <si>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</si>
  <si>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</si>
  <si>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</si>
  <si>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</si>
  <si>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</si>
  <si>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</si>
  <si>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</si>
  <si>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</si>
  <si>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</si>
  <si>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</si>
  <si>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</si>
  <si>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</si>
  <si>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</si>
  <si>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</si>
  <si>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</si>
  <si>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</si>
  <si>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</si>
  <si>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</si>
  <si>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</si>
  <si>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</si>
  <si>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</si>
  <si>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</si>
  <si>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</si>
  <si>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</si>
  <si>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</si>
  <si>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</si>
  <si>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</si>
  <si>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</si>
  <si>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</si>
  <si>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</si>
  <si>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</si>
  <si>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</si>
  <si>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</si>
  <si>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</si>
  <si>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</si>
  <si>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</si>
  <si>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</si>
  <si>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</si>
  <si>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</si>
  <si>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</si>
  <si>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</si>
  <si>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</si>
  <si>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</si>
  <si>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</si>
  <si>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</si>
  <si>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</si>
  <si>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</si>
  <si>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</si>
  <si>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</si>
  <si>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</si>
  <si>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</si>
  <si>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</si>
  <si>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</si>
  <si>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</si>
  <si>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</si>
  <si>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</si>
  <si>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</si>
  <si>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</si>
  <si>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</si>
  <si>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</si>
  <si>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</si>
  <si>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</si>
  <si>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</si>
  <si>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</si>
  <si>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</si>
  <si>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</si>
  <si>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</si>
  <si>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</si>
  <si>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</si>
  <si>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</si>
  <si>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</si>
  <si>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</si>
  <si>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</si>
  <si>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</si>
  <si>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</si>
  <si>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</si>
  <si>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</si>
  <si>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</si>
  <si>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</si>
  <si>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</si>
  <si>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</si>
  <si>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</si>
  <si>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</si>
  <si>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</si>
  <si>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</si>
  <si>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</si>
  <si>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</si>
  <si>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</si>
  <si>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</si>
  <si>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</si>
  <si>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</si>
  <si>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</si>
  <si>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</si>
  <si>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</si>
  <si>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</si>
  <si>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</si>
  <si>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</si>
  <si>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</si>
  <si>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</si>
  <si>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</si>
  <si>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170</t>
  </si>
  <si>
    <t>2022-11-12 09:36:32</t>
  </si>
  <si>
    <t>2022-11-12 09:36:33</t>
  </si>
  <si>
    <t>2022-11-12 09:36:34</t>
  </si>
  <si>
    <t>2022-11-12 09:36:35</t>
  </si>
  <si>
    <t>2022-11-12 09:36:36</t>
  </si>
  <si>
    <t>286</t>
  </si>
  <si>
    <t>2022-11-12 09:36:37</t>
  </si>
  <si>
    <t>2022-11-12 09:36:38</t>
  </si>
  <si>
    <t>209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</si>
  <si>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</si>
  <si>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</si>
  <si>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</si>
  <si>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</si>
  <si>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</si>
  <si>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</si>
  <si>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</si>
  <si>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</si>
  <si>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</si>
  <si>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</si>
  <si>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</si>
  <si>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</si>
  <si>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</si>
  <si>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</si>
  <si>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</si>
  <si>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</si>
  <si>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</si>
  <si>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</si>
  <si>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</si>
  <si>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</si>
  <si>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</si>
  <si>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</si>
  <si>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</si>
  <si>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</si>
  <si>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</si>
  <si>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</si>
  <si>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</si>
  <si>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</si>
  <si>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</si>
  <si>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</si>
  <si>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</si>
  <si>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444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</si>
  <si>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</si>
  <si>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</si>
  <si>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</si>
  <si>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</si>
  <si>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</si>
  <si>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</si>
  <si>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</si>
  <si>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</si>
  <si>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</si>
  <si>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</si>
  <si>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</si>
  <si>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</si>
  <si>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</si>
  <si>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</si>
  <si>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</si>
  <si>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</si>
  <si>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</si>
  <si>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</si>
  <si>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</si>
  <si>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</si>
  <si>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</si>
  <si>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</si>
  <si>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</si>
  <si>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</si>
  <si>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404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</si>
  <si>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</si>
  <si>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</si>
  <si>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</si>
  <si>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</si>
  <si>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</si>
  <si>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</si>
  <si>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</si>
  <si>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</si>
  <si>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</si>
  <si>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</si>
  <si>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</si>
  <si>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</si>
  <si>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</si>
  <si>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</si>
  <si>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</si>
  <si>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</si>
  <si>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</si>
  <si>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</si>
  <si>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</si>
  <si>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</si>
  <si>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</si>
  <si>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</si>
  <si>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</si>
  <si>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</si>
  <si>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</si>
  <si>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</si>
  <si>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</si>
  <si>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</si>
  <si>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</si>
  <si>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</si>
  <si>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</si>
  <si>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</si>
  <si>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</si>
  <si>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</si>
  <si>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</si>
  <si>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</si>
  <si>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</si>
  <si>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</si>
  <si>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</si>
  <si>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</si>
  <si>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</si>
  <si>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</si>
  <si>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</si>
  <si>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</si>
  <si>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</si>
  <si>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</si>
  <si>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</si>
  <si>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</si>
  <si>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</si>
  <si>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</si>
  <si>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</si>
  <si>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</si>
  <si>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</si>
  <si>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</si>
  <si>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</si>
  <si>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</si>
  <si>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</si>
  <si>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</si>
  <si>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</si>
  <si>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</si>
  <si>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</si>
  <si>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</si>
  <si>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</si>
  <si>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</si>
  <si>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</si>
  <si>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</si>
  <si>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</si>
  <si>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</si>
  <si>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</si>
  <si>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</si>
  <si>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</si>
  <si>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</si>
  <si>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</si>
  <si>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</si>
  <si>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</si>
  <si>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</si>
  <si>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</si>
  <si>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</si>
  <si>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</si>
  <si>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</si>
  <si>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</si>
  <si>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</si>
  <si>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</si>
  <si>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</si>
  <si>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</si>
  <si>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</si>
  <si>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</si>
  <si>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</si>
  <si>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</si>
  <si>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</si>
  <si>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</si>
  <si>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</si>
  <si>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</si>
  <si>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</si>
  <si>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</si>
  <si>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</si>
  <si>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</si>
  <si>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</si>
  <si>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</si>
  <si>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</si>
  <si>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</si>
  <si>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</si>
  <si>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</si>
  <si>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</si>
  <si>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</si>
  <si>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</si>
  <si>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</si>
  <si>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</si>
  <si>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</si>
  <si>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</si>
  <si>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</si>
  <si>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</si>
  <si>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</si>
  <si>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</si>
  <si>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</si>
  <si>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</si>
  <si>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</si>
  <si>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</si>
  <si>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</si>
  <si>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</si>
  <si>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</si>
  <si>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</si>
  <si>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</si>
  <si>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</si>
  <si>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</si>
  <si>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</si>
  <si>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</si>
  <si>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</si>
  <si>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</si>
  <si>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</si>
  <si>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</si>
  <si>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</si>
  <si>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</si>
  <si>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</si>
  <si>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</si>
  <si>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</si>
  <si>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</si>
  <si>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</si>
  <si>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</si>
  <si>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</si>
  <si>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</si>
  <si>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</si>
  <si>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</si>
  <si>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</si>
  <si>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</si>
  <si>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</si>
  <si>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</si>
  <si>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</si>
  <si>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</si>
  <si>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</si>
  <si>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</si>
  <si>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</si>
  <si>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</si>
  <si>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</si>
  <si>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</si>
  <si>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</si>
  <si>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</si>
  <si>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</si>
  <si>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</si>
  <si>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</si>
  <si>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</si>
  <si>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</si>
  <si>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</si>
  <si>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</si>
  <si>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</si>
  <si>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</si>
  <si>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</si>
  <si>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</si>
  <si>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</si>
  <si>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</si>
  <si>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</si>
  <si>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</si>
  <si>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</si>
  <si>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</si>
  <si>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</si>
  <si>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</si>
  <si>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</si>
  <si>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</si>
  <si>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</si>
  <si>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</si>
  <si>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</si>
  <si>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</si>
  <si>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</si>
  <si>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</si>
  <si>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</si>
  <si>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</si>
  <si>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</si>
  <si>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</si>
  <si>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</si>
  <si>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</si>
  <si>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</si>
  <si>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</si>
  <si>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</si>
  <si>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</si>
  <si>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</si>
  <si>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</si>
  <si>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</si>
  <si>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</si>
  <si>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</si>
  <si>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</si>
  <si>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</si>
  <si>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</si>
  <si>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</si>
  <si>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</si>
  <si>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</si>
  <si>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</si>
  <si>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</si>
  <si>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</si>
  <si>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</si>
  <si>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</si>
  <si>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</si>
  <si>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</si>
  <si>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</si>
  <si>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</si>
  <si>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</si>
  <si>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</si>
  <si>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</si>
  <si>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</si>
  <si>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</si>
  <si>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</si>
  <si>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</si>
  <si>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</si>
  <si>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</si>
  <si>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</si>
  <si>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</si>
  <si>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</si>
  <si>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</si>
  <si>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</si>
  <si>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</si>
  <si>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</si>
  <si>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</si>
  <si>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</si>
  <si>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</si>
  <si>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</si>
  <si>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</si>
  <si>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</si>
  <si>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</si>
  <si>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</si>
  <si>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</si>
  <si>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</si>
  <si>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</si>
  <si>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</si>
  <si>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</si>
  <si>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</si>
  <si>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</si>
  <si>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</si>
  <si>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</si>
  <si>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</si>
  <si>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</si>
  <si>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</si>
  <si>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</si>
  <si>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</si>
  <si>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</si>
  <si>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</si>
  <si>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</si>
  <si>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</si>
  <si>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</si>
  <si>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</si>
  <si>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</si>
  <si>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</si>
  <si>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</si>
  <si>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</si>
  <si>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</si>
  <si>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</si>
  <si>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</si>
  <si>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</si>
  <si>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</si>
  <si>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</si>
  <si>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</si>
  <si>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</si>
  <si>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</si>
  <si>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</si>
  <si>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</si>
  <si>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</si>
  <si>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</si>
  <si>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</si>
  <si>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</si>
  <si>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</si>
  <si>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</si>
  <si>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</si>
  <si>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</si>
  <si>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</si>
  <si>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</si>
  <si>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</si>
  <si>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</si>
  <si>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</si>
  <si>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</si>
  <si>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</si>
  <si>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</si>
  <si>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</si>
  <si>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</si>
  <si>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</si>
  <si>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</si>
  <si>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</si>
  <si>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</si>
  <si>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</si>
  <si>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</si>
  <si>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</si>
  <si>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</si>
  <si>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</si>
  <si>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</si>
  <si>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</si>
  <si>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</si>
  <si>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</si>
  <si>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</si>
  <si>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</si>
  <si>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</si>
  <si>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</si>
  <si>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</si>
  <si>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</si>
  <si>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</si>
  <si>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</si>
  <si>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</si>
  <si>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</si>
  <si>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</si>
  <si>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</si>
  <si>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</si>
  <si>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</si>
  <si>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</si>
  <si>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</si>
  <si>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</si>
  <si>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</si>
  <si>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</si>
  <si>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</si>
  <si>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</si>
  <si>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</si>
  <si>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</si>
  <si>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</si>
  <si>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</si>
  <si>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</si>
  <si>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</si>
  <si>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</si>
  <si>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</si>
  <si>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</si>
  <si>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</si>
  <si>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</si>
  <si>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</si>
  <si>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</si>
  <si>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</si>
  <si>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</si>
  <si>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</si>
  <si>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</si>
  <si>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</si>
  <si>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</si>
  <si>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</si>
  <si>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</si>
  <si>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</si>
  <si>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</si>
  <si>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</si>
  <si>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</si>
  <si>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</si>
  <si>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</si>
  <si>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</si>
  <si>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</si>
  <si>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</si>
  <si>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</si>
  <si>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</si>
  <si>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</si>
  <si>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</si>
  <si>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</si>
  <si>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</si>
  <si>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</si>
  <si>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</si>
  <si>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</si>
  <si>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</si>
  <si>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</si>
  <si>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</si>
  <si>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</si>
  <si>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</si>
  <si>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</si>
  <si>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</si>
  <si>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</si>
  <si>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</si>
  <si>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</si>
  <si>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</si>
  <si>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</si>
  <si>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</si>
  <si>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</si>
  <si>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</si>
  <si>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</si>
  <si>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</si>
  <si>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</si>
  <si>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</si>
  <si>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</si>
  <si>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</si>
  <si>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</si>
  <si>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</si>
  <si>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</si>
  <si>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</si>
  <si>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</si>
  <si>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</si>
  <si>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</si>
  <si>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</si>
  <si>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</si>
  <si>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</si>
  <si>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</si>
  <si>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</si>
  <si>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</si>
  <si>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</si>
  <si>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</si>
  <si>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</si>
  <si>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</si>
  <si>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</si>
  <si>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</si>
  <si>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</si>
  <si>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</si>
  <si>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</si>
  <si>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</si>
  <si>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</si>
  <si>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</si>
  <si>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</si>
  <si>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</si>
  <si>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</si>
  <si>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</si>
  <si>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</si>
  <si>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</si>
  <si>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</si>
  <si>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</si>
  <si>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</si>
  <si>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</si>
  <si>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</si>
  <si>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</si>
  <si>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</si>
  <si>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</si>
  <si>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</si>
  <si>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</si>
  <si>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</si>
  <si>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</si>
  <si>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</si>
  <si>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</si>
  <si>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</si>
  <si>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</si>
  <si>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</si>
  <si>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</si>
  <si>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</si>
  <si>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</si>
  <si>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</si>
  <si>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</si>
  <si>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</si>
  <si>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</si>
  <si>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</si>
  <si>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</si>
  <si>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</si>
  <si>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</si>
  <si>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</si>
  <si>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</si>
  <si>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</si>
  <si>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</si>
  <si>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</si>
  <si>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</si>
  <si>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</si>
  <si>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</si>
  <si>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</si>
  <si>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</si>
  <si>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</si>
  <si>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</si>
  <si>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</si>
  <si>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</si>
  <si>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</si>
  <si>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</si>
  <si>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</si>
  <si>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</si>
  <si>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</si>
  <si>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</si>
  <si>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</si>
  <si>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</si>
  <si>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</si>
  <si>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</si>
  <si>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</si>
  <si>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</si>
  <si>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</si>
  <si>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</si>
  <si>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</si>
  <si>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</si>
  <si>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</si>
  <si>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</si>
  <si>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</si>
  <si>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</si>
  <si>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</si>
  <si>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</si>
  <si>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153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</si>
  <si>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</si>
  <si>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</si>
  <si>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</si>
  <si>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</si>
  <si>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</si>
  <si>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</si>
  <si>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</si>
  <si>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</si>
  <si>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</si>
  <si>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</si>
  <si>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</si>
  <si>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</si>
  <si>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</si>
  <si>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</si>
  <si>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</si>
  <si>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</si>
  <si>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</si>
  <si>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</si>
  <si>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</si>
  <si>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</si>
  <si>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</si>
  <si>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</si>
  <si>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</si>
  <si>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</si>
  <si>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</si>
  <si>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</si>
  <si>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</si>
  <si>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</si>
  <si>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</si>
  <si>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</si>
  <si>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</si>
  <si>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</si>
  <si>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</si>
  <si>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</si>
  <si>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</si>
  <si>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</si>
  <si>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</si>
  <si>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</si>
  <si>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</si>
  <si>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</si>
  <si>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</si>
  <si>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</si>
  <si>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</si>
  <si>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</si>
  <si>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</si>
  <si>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</si>
  <si>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</si>
  <si>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</si>
  <si>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</si>
  <si>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</si>
  <si>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</si>
  <si>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</si>
  <si>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</si>
  <si>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</si>
  <si>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</si>
  <si>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</si>
  <si>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</si>
  <si>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</si>
  <si>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</si>
  <si>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</si>
  <si>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</si>
  <si>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</si>
  <si>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</si>
  <si>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</si>
  <si>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</si>
  <si>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</si>
  <si>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</si>
  <si>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</si>
  <si>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</si>
  <si>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</si>
  <si>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</si>
  <si>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</si>
  <si>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</si>
  <si>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</si>
  <si>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</si>
  <si>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</si>
  <si>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</si>
  <si>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</si>
  <si>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</si>
  <si>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</si>
  <si>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</si>
  <si>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</si>
  <si>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</si>
  <si>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</si>
  <si>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</si>
  <si>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</si>
  <si>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</si>
  <si>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</si>
  <si>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</si>
  <si>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</si>
  <si>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</si>
  <si>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</si>
  <si>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</si>
  <si>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</si>
  <si>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</si>
  <si>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</si>
  <si>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</si>
  <si>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</si>
  <si>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</si>
  <si>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</si>
  <si>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</si>
  <si>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</si>
  <si>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</si>
  <si>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</si>
  <si>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</si>
  <si>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</si>
  <si>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</si>
  <si>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</si>
  <si>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</si>
  <si>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</si>
  <si>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</si>
  <si>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</si>
  <si>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</si>
  <si>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</si>
  <si>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</si>
  <si>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</si>
  <si>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</si>
  <si>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</si>
  <si>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</si>
  <si>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</si>
  <si>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</si>
  <si>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</si>
  <si>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</si>
  <si>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</si>
  <si>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</si>
  <si>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</si>
  <si>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</si>
  <si>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</si>
  <si>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</si>
  <si>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</si>
  <si>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</si>
  <si>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</si>
  <si>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</si>
  <si>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</si>
  <si>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</si>
  <si>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</si>
  <si>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</si>
  <si>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</si>
  <si>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</si>
  <si>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</si>
  <si>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</si>
  <si>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</si>
  <si>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</si>
  <si>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</si>
  <si>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</si>
  <si>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</si>
  <si>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</si>
  <si>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</si>
  <si>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</si>
  <si>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</si>
  <si>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</si>
  <si>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</si>
  <si>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</si>
  <si>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</si>
  <si>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</si>
  <si>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</si>
  <si>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</si>
  <si>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</si>
  <si>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</si>
  <si>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</si>
  <si>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</si>
  <si>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</si>
  <si>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</si>
  <si>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</si>
  <si>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</si>
  <si>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</si>
  <si>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</si>
  <si>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</si>
  <si>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</si>
  <si>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</si>
  <si>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</si>
  <si>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</si>
  <si>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</si>
  <si>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</si>
  <si>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</si>
  <si>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</si>
  <si>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</si>
  <si>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</si>
  <si>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</si>
  <si>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</si>
  <si>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</si>
  <si>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</si>
  <si>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</si>
  <si>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</si>
  <si>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</si>
  <si>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</si>
  <si>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</si>
  <si>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</si>
  <si>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</si>
  <si>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</si>
  <si>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</si>
  <si>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</si>
  <si>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</si>
  <si>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</si>
  <si>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</si>
  <si>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</si>
  <si>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</si>
  <si>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</si>
  <si>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</si>
  <si>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</si>
  <si>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</si>
  <si>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</si>
  <si>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</si>
  <si>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</si>
  <si>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</si>
  <si>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</si>
  <si>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</si>
  <si>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</si>
  <si>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</si>
  <si>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</si>
  <si>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</si>
  <si>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</si>
  <si>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</si>
  <si>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</si>
  <si>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</si>
  <si>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</si>
  <si>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</si>
  <si>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</si>
  <si>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</si>
  <si>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</si>
  <si>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</si>
  <si>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</si>
  <si>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</si>
  <si>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</si>
  <si>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</si>
  <si>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</si>
  <si>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</si>
  <si>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</si>
  <si>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</si>
  <si>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</si>
  <si>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</si>
  <si>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</si>
  <si>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</si>
  <si>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</si>
  <si>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</si>
  <si>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</si>
  <si>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</si>
  <si>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</si>
  <si>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</si>
  <si>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</si>
  <si>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</si>
  <si>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</si>
  <si>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</si>
  <si>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</si>
  <si>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</si>
  <si>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</si>
  <si>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</si>
  <si>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</si>
  <si>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</si>
  <si>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</si>
  <si>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</si>
  <si>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</si>
  <si>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</si>
  <si>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</si>
  <si>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</si>
  <si>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</si>
  <si>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</si>
  <si>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</si>
  <si>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</si>
  <si>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</si>
  <si>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</si>
  <si>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</si>
  <si>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</si>
  <si>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</si>
  <si>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</si>
  <si>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</si>
  <si>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</si>
  <si>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</si>
  <si>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</si>
  <si>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</si>
  <si>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</si>
  <si>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</si>
  <si>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</si>
  <si>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</si>
  <si>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</si>
  <si>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</si>
  <si>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</si>
  <si>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</si>
  <si>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</si>
  <si>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</si>
  <si>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</si>
  <si>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</si>
  <si>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</si>
  <si>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</si>
  <si>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</si>
  <si>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</si>
  <si>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</si>
  <si>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</si>
  <si>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</si>
  <si>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</si>
  <si>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</si>
  <si>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</si>
  <si>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</si>
  <si>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</si>
  <si>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</si>
  <si>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</si>
  <si>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</si>
  <si>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</si>
  <si>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</si>
  <si>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</si>
  <si>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</si>
  <si>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</si>
  <si>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</si>
  <si>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</si>
  <si>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</si>
  <si>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</si>
  <si>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</si>
  <si>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</si>
  <si>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</si>
  <si>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</si>
  <si>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</si>
  <si>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</si>
  <si>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</si>
  <si>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</si>
  <si>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</si>
  <si>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</si>
  <si>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</si>
  <si>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</si>
  <si>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</si>
  <si>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</si>
  <si>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</si>
  <si>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</si>
  <si>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</si>
  <si>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</si>
  <si>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</si>
  <si>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</si>
  <si>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</si>
  <si>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</si>
  <si>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</si>
  <si>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</si>
  <si>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</si>
  <si>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</si>
  <si>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</si>
  <si>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</si>
  <si>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</si>
  <si>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</si>
  <si>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</si>
  <si>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</si>
  <si>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</si>
  <si>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</si>
  <si>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</si>
  <si>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</si>
  <si>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</si>
  <si>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</si>
  <si>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</si>
  <si>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</si>
  <si>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</si>
  <si>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</si>
  <si>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</si>
  <si>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</si>
  <si>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</si>
  <si>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</si>
  <si>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</si>
  <si>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</si>
  <si>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</si>
  <si>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</si>
  <si>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</si>
  <si>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</si>
  <si>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</si>
  <si>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</si>
  <si>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</si>
  <si>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</si>
  <si>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</si>
  <si>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</si>
  <si>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</si>
  <si>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</si>
  <si>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</si>
  <si>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</si>
  <si>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</si>
  <si>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</si>
  <si>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</si>
  <si>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</si>
  <si>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</si>
  <si>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</si>
  <si>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</si>
  <si>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</si>
  <si>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</si>
  <si>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</si>
  <si>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</si>
  <si>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</si>
  <si>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</si>
  <si>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</si>
  <si>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</si>
  <si>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</si>
  <si>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</si>
  <si>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</si>
  <si>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</si>
  <si>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</si>
  <si>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</si>
  <si>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</si>
  <si>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</si>
  <si>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</si>
  <si>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</si>
  <si>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</si>
  <si>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</si>
  <si>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</si>
  <si>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</si>
  <si>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</si>
  <si>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</si>
  <si>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</si>
  <si>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</si>
  <si>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</si>
  <si>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</si>
  <si>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</si>
  <si>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</si>
  <si>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</si>
  <si>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</si>
  <si>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</si>
  <si>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</si>
  <si>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</si>
  <si>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</si>
  <si>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</si>
  <si>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</si>
  <si>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</si>
  <si>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</si>
  <si>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</si>
  <si>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</si>
  <si>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</si>
  <si>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</si>
  <si>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349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</si>
  <si>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</si>
  <si>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</si>
  <si>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</si>
  <si>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</si>
  <si>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</si>
  <si>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</si>
  <si>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</si>
  <si>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</si>
  <si>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</si>
  <si>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</si>
  <si>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</si>
  <si>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</si>
  <si>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</si>
  <si>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</si>
  <si>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</si>
  <si>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</si>
  <si>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</si>
  <si>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</si>
  <si>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</si>
  <si>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</si>
  <si>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</si>
  <si>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</si>
  <si>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</si>
  <si>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</si>
  <si>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</si>
  <si>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</si>
  <si>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</si>
  <si>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</si>
  <si>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</si>
  <si>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</si>
  <si>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</si>
  <si>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</si>
  <si>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</si>
  <si>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</si>
  <si>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</si>
  <si>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</si>
  <si>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</si>
  <si>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</si>
  <si>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</si>
  <si>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</si>
  <si>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</si>
  <si>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</si>
  <si>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</si>
  <si>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</si>
  <si>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</si>
  <si>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</si>
  <si>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</si>
  <si>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</si>
  <si>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</si>
  <si>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</si>
  <si>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</si>
  <si>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</si>
  <si>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</si>
  <si>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</si>
  <si>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</si>
  <si>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</si>
  <si>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</si>
  <si>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</si>
  <si>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</si>
  <si>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</si>
  <si>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</si>
  <si>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219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</si>
  <si>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</si>
  <si>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</si>
  <si>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</si>
  <si>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</si>
  <si>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</si>
  <si>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</si>
  <si>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</si>
  <si>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164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</si>
  <si>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</si>
  <si>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</si>
  <si>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</si>
  <si>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</si>
  <si>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</si>
  <si>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</si>
  <si>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</si>
  <si>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296</t>
  </si>
  <si>
    <t>2022-11-12 09:56:02</t>
  </si>
  <si>
    <t>2022-11-12 09:56:03</t>
  </si>
  <si>
    <t>2022-11-12 09:56:04</t>
  </si>
  <si>
    <t>2022-11-12 09:56:05</t>
  </si>
  <si>
    <t>244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</si>
  <si>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</si>
  <si>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</si>
  <si>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</si>
  <si>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</si>
  <si>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</si>
  <si>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</si>
  <si>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</si>
  <si>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</si>
  <si>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</si>
  <si>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</si>
  <si>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</si>
  <si>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194</t>
  </si>
  <si>
    <t>2022-11-12 09:56:17</t>
  </si>
  <si>
    <t>2022-11-12 09:56:18</t>
  </si>
  <si>
    <t>2022-11-12 09:56:19</t>
  </si>
  <si>
    <t>2022-11-12 09:56:20</t>
  </si>
  <si>
    <t>2022-11-12 09:56:21</t>
  </si>
  <si>
    <t>368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</si>
  <si>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</si>
  <si>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</si>
  <si>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</si>
  <si>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</si>
  <si>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</si>
  <si>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</si>
  <si>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</si>
  <si>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</si>
  <si>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</si>
  <si>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</si>
  <si>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</si>
  <si>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</si>
  <si>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</si>
  <si>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</si>
  <si>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</si>
  <si>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</si>
  <si>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</si>
  <si>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</si>
  <si>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</si>
  <si>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</si>
  <si>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</si>
  <si>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</si>
  <si>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</si>
  <si>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</si>
  <si>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</si>
  <si>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</si>
  <si>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</si>
  <si>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</si>
  <si>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</si>
  <si>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</si>
  <si>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</si>
  <si>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</si>
  <si>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</si>
  <si>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</si>
  <si>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</si>
  <si>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</si>
  <si>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</si>
  <si>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247</t>
  </si>
  <si>
    <t>2022-11-12 10:11:15</t>
  </si>
  <si>
    <t>2022-11-12 10:11:16</t>
  </si>
  <si>
    <t>2022-11-12 10:11:17</t>
  </si>
  <si>
    <t>281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</si>
  <si>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</si>
  <si>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</si>
  <si>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</si>
  <si>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</si>
  <si>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</si>
  <si>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</si>
  <si>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</si>
  <si>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</si>
  <si>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</si>
  <si>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</si>
  <si>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</si>
  <si>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</si>
  <si>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</si>
  <si>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</si>
  <si>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</si>
  <si>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</si>
  <si>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</si>
  <si>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248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</si>
  <si>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</si>
  <si>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</si>
  <si>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</si>
  <si>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</si>
  <si>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</si>
  <si>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</si>
  <si>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</si>
  <si>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</si>
  <si>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</si>
  <si>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</si>
  <si>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</si>
  <si>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</si>
  <si>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</si>
  <si>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</si>
  <si>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</si>
  <si>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</si>
  <si>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</si>
  <si>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</si>
  <si>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</si>
  <si>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273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</si>
  <si>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</si>
  <si>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</si>
  <si>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</si>
  <si>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</si>
  <si>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</si>
  <si>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</si>
  <si>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</si>
  <si>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</si>
  <si>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</si>
  <si>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</si>
  <si>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</si>
  <si>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</si>
  <si>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</si>
  <si>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</si>
  <si>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</si>
  <si>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</si>
  <si>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</si>
  <si>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</si>
  <si>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</si>
  <si>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344</t>
  </si>
  <si>
    <t>2022-11-12 10:12:13</t>
  </si>
  <si>
    <t>2022-11-12 10:12:14</t>
  </si>
  <si>
    <t>181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</si>
  <si>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</si>
  <si>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</si>
  <si>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</si>
  <si>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</si>
  <si>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</si>
  <si>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</si>
  <si>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</si>
  <si>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</si>
  <si>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</si>
  <si>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</si>
  <si>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</si>
  <si>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</si>
  <si>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</si>
  <si>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</si>
  <si>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</si>
  <si>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</si>
  <si>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</si>
  <si>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</si>
  <si>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</si>
  <si>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</si>
  <si>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</si>
  <si>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322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</si>
  <si>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</si>
  <si>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</si>
  <si>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</si>
  <si>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</si>
  <si>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</si>
  <si>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</si>
  <si>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</si>
  <si>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</si>
  <si>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</si>
  <si>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</si>
  <si>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</si>
  <si>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</si>
  <si>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</si>
  <si>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</si>
  <si>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</si>
  <si>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</si>
  <si>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</si>
  <si>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</si>
  <si>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</si>
  <si>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</si>
  <si>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</si>
  <si>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</si>
  <si>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</si>
  <si>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</si>
  <si>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</si>
  <si>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</si>
  <si>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</si>
  <si>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</si>
  <si>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</si>
  <si>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</si>
  <si>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</si>
  <si>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</si>
  <si>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</si>
  <si>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222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</si>
  <si>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</si>
  <si>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</si>
  <si>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</si>
  <si>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</si>
  <si>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</si>
  <si>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</si>
  <si>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</si>
  <si>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</si>
  <si>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</si>
  <si>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</si>
  <si>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</si>
  <si>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</si>
  <si>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</si>
  <si>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</si>
  <si>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</si>
  <si>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</si>
  <si>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384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</si>
  <si>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</si>
  <si>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</si>
  <si>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</si>
  <si>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</si>
  <si>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</si>
  <si>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</si>
  <si>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</si>
  <si>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</si>
  <si>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</si>
  <si>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</si>
  <si>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</si>
  <si>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</si>
  <si>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</si>
  <si>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</si>
  <si>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</si>
  <si>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</si>
  <si>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</si>
  <si>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</si>
  <si>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</si>
  <si>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</si>
  <si>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</si>
  <si>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</si>
  <si>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</si>
  <si>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</si>
  <si>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</si>
  <si>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</si>
  <si>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</si>
  <si>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</si>
  <si>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</si>
  <si>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</si>
  <si>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</si>
  <si>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</si>
  <si>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</si>
  <si>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</si>
  <si>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</si>
  <si>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</si>
  <si>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</si>
  <si>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</si>
  <si>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</si>
  <si>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</si>
  <si>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</si>
  <si>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</si>
  <si>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</si>
  <si>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</si>
  <si>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</si>
  <si>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</si>
  <si>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</si>
  <si>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</si>
  <si>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</si>
  <si>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</si>
  <si>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</si>
  <si>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</si>
  <si>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</si>
  <si>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</si>
  <si>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</si>
  <si>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</si>
  <si>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</si>
  <si>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</si>
  <si>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</si>
  <si>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</si>
  <si>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</si>
  <si>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</si>
  <si>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</si>
  <si>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</si>
  <si>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</si>
  <si>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</si>
  <si>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</si>
  <si>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</si>
  <si>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</si>
  <si>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</si>
  <si>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</si>
  <si>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</si>
  <si>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</si>
  <si>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</si>
  <si>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</si>
  <si>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</si>
  <si>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</si>
  <si>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</si>
  <si>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</si>
  <si>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</si>
  <si>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</si>
  <si>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</si>
  <si>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</si>
  <si>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</si>
  <si>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</si>
  <si>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</si>
  <si>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417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</si>
  <si>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</si>
  <si>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</si>
  <si>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</si>
  <si>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</si>
  <si>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</si>
  <si>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</si>
  <si>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</si>
  <si>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</si>
  <si>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</si>
  <si>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</si>
  <si>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</si>
  <si>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</si>
  <si>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</si>
  <si>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</si>
  <si>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</si>
  <si>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</si>
  <si>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</si>
  <si>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</si>
  <si>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</si>
  <si>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</si>
  <si>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</si>
  <si>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</si>
  <si>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</si>
  <si>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</si>
  <si>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</si>
  <si>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</si>
  <si>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</si>
  <si>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</si>
  <si>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</si>
  <si>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</si>
  <si>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</si>
  <si>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</si>
  <si>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</si>
  <si>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</si>
  <si>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285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</si>
  <si>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</si>
  <si>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</si>
  <si>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</si>
  <si>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</si>
  <si>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</si>
  <si>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</si>
  <si>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</si>
  <si>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</si>
  <si>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</si>
  <si>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</si>
  <si>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</si>
  <si>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</si>
  <si>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</si>
  <si>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</si>
  <si>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</si>
  <si>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</si>
  <si>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</si>
  <si>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</si>
  <si>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</si>
  <si>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</si>
  <si>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</si>
  <si>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</si>
  <si>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</si>
  <si>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</si>
  <si>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</si>
  <si>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</si>
  <si>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</si>
  <si>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</si>
  <si>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</si>
  <si>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</si>
  <si>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</si>
  <si>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</si>
  <si>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</si>
  <si>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</si>
  <si>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</si>
  <si>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</si>
  <si>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</si>
  <si>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</si>
  <si>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</si>
  <si>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</si>
  <si>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</si>
  <si>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</si>
  <si>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</si>
  <si>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</si>
  <si>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</si>
  <si>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</si>
  <si>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</si>
  <si>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</si>
  <si>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</si>
  <si>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</si>
  <si>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</si>
  <si>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</si>
  <si>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</si>
  <si>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</si>
  <si>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</si>
  <si>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</si>
  <si>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</si>
  <si>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</si>
  <si>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</si>
  <si>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</si>
  <si>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</si>
  <si>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</si>
  <si>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</si>
  <si>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</si>
  <si>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</si>
  <si>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</si>
  <si>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</si>
  <si>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</si>
  <si>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</si>
  <si>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</si>
  <si>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</si>
  <si>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</si>
  <si>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</si>
  <si>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</si>
  <si>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</si>
  <si>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</si>
  <si>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</si>
  <si>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</si>
  <si>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</si>
  <si>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</si>
  <si>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</si>
  <si>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</si>
  <si>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</si>
  <si>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</si>
  <si>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</si>
  <si>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</si>
  <si>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</si>
  <si>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</si>
  <si>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</si>
  <si>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</si>
  <si>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</si>
  <si>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</si>
  <si>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</si>
  <si>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</si>
  <si>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</si>
  <si>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</si>
  <si>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</si>
  <si>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</si>
  <si>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</si>
  <si>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</si>
  <si>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</si>
  <si>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</si>
  <si>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</si>
  <si>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</si>
  <si>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</si>
  <si>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</si>
  <si>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</si>
  <si>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</si>
  <si>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</si>
  <si>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</si>
  <si>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</si>
  <si>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</si>
  <si>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</si>
  <si>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</si>
  <si>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</si>
  <si>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</si>
  <si>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</si>
  <si>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</si>
  <si>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</si>
  <si>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</si>
  <si>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</si>
  <si>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</si>
  <si>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</si>
  <si>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</si>
  <si>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</si>
  <si>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</si>
  <si>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</si>
  <si>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</si>
  <si>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</si>
  <si>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</si>
  <si>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</si>
  <si>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</si>
  <si>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</si>
  <si>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</si>
  <si>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</si>
  <si>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</si>
  <si>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</si>
  <si>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</si>
  <si>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</si>
  <si>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</si>
  <si>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</si>
  <si>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</si>
  <si>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</si>
  <si>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</si>
  <si>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</si>
  <si>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</si>
  <si>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</si>
  <si>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</si>
  <si>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</si>
  <si>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</si>
  <si>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</si>
  <si>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</si>
  <si>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</si>
  <si>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</si>
  <si>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</si>
  <si>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</si>
  <si>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</si>
  <si>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</si>
  <si>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</si>
  <si>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</si>
  <si>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</si>
  <si>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</si>
  <si>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</si>
  <si>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</si>
  <si>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</si>
  <si>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</si>
  <si>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</si>
  <si>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</si>
  <si>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</si>
  <si>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</si>
  <si>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</si>
  <si>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</si>
  <si>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</si>
  <si>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</si>
  <si>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</si>
  <si>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</si>
  <si>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</si>
  <si>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</si>
  <si>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</si>
  <si>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</si>
  <si>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</si>
  <si>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</si>
  <si>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</si>
  <si>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</si>
  <si>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</si>
  <si>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</si>
  <si>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</si>
  <si>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</si>
  <si>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</si>
  <si>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</si>
  <si>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</si>
  <si>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</si>
  <si>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</si>
  <si>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</si>
  <si>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</si>
  <si>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</si>
  <si>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</si>
  <si>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</si>
  <si>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</si>
  <si>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</si>
  <si>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</si>
  <si>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</si>
  <si>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</si>
  <si>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</si>
  <si>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</si>
  <si>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</si>
  <si>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</si>
  <si>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</si>
  <si>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</si>
  <si>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</si>
  <si>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</si>
  <si>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</si>
  <si>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</si>
  <si>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</si>
  <si>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</si>
  <si>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</si>
  <si>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</si>
  <si>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</si>
  <si>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</si>
  <si>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</si>
  <si>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</si>
  <si>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</si>
  <si>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</si>
  <si>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</si>
  <si>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</si>
  <si>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</si>
  <si>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</si>
  <si>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</si>
  <si>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</si>
  <si>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</si>
  <si>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</si>
  <si>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</si>
  <si>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</si>
  <si>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</si>
  <si>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</si>
  <si>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</si>
  <si>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</si>
  <si>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</si>
  <si>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</si>
  <si>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</si>
  <si>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</si>
  <si>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330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</si>
  <si>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</si>
  <si>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</si>
  <si>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</si>
  <si>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</si>
  <si>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</si>
  <si>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</si>
  <si>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</si>
  <si>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</si>
  <si>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</si>
  <si>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</si>
  <si>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</si>
  <si>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</si>
  <si>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</si>
  <si>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</si>
  <si>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</si>
  <si>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</si>
  <si>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</si>
  <si>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</si>
  <si>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</si>
  <si>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</si>
  <si>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</si>
  <si>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</si>
  <si>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</si>
  <si>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</si>
  <si>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</si>
  <si>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</si>
  <si>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</si>
  <si>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</si>
  <si>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</si>
  <si>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</si>
  <si>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</si>
  <si>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</si>
  <si>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</si>
  <si>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</si>
  <si>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</si>
  <si>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</si>
  <si>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</si>
  <si>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</si>
  <si>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</si>
  <si>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</si>
  <si>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</si>
  <si>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</si>
  <si>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</si>
  <si>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</si>
  <si>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</si>
  <si>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</si>
  <si>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</si>
  <si>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</si>
  <si>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</si>
  <si>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</si>
  <si>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</si>
  <si>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</si>
  <si>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</si>
  <si>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</si>
  <si>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</si>
  <si>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</si>
  <si>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</si>
  <si>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</si>
  <si>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</si>
  <si>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</si>
  <si>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</si>
  <si>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</si>
  <si>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</si>
  <si>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</si>
  <si>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</si>
  <si>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</si>
  <si>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</si>
  <si>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</si>
  <si>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</si>
  <si>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</si>
  <si>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</si>
  <si>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</si>
  <si>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</si>
  <si>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</si>
  <si>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</si>
  <si>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</si>
  <si>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</si>
  <si>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</si>
  <si>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</si>
  <si>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</si>
  <si>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</si>
  <si>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</si>
  <si>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</si>
  <si>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</si>
  <si>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</si>
  <si>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</si>
  <si>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</si>
  <si>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</si>
  <si>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</si>
  <si>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</si>
  <si>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</si>
  <si>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</si>
  <si>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</si>
  <si>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</si>
  <si>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</si>
  <si>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</si>
  <si>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</si>
  <si>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</si>
  <si>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</si>
  <si>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</si>
  <si>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</si>
  <si>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</si>
  <si>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</si>
  <si>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</si>
  <si>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</si>
  <si>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</si>
  <si>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</si>
  <si>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</si>
  <si>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</si>
  <si>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</si>
  <si>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</si>
  <si>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</si>
  <si>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</si>
  <si>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</si>
  <si>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</si>
  <si>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</si>
  <si>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</si>
  <si>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</si>
  <si>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</si>
  <si>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</si>
  <si>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</si>
  <si>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</si>
  <si>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</si>
  <si>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</si>
  <si>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</si>
  <si>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</si>
  <si>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</si>
  <si>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</si>
  <si>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</si>
  <si>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</si>
  <si>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</si>
  <si>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</si>
  <si>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</si>
  <si>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</si>
  <si>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</si>
  <si>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</si>
  <si>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</si>
  <si>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</si>
  <si>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</si>
  <si>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</si>
  <si>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</si>
  <si>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</si>
  <si>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</si>
  <si>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</si>
  <si>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</si>
  <si>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</si>
  <si>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</si>
  <si>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</si>
  <si>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</si>
  <si>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</si>
  <si>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</si>
  <si>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</si>
  <si>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</si>
  <si>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</si>
  <si>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</si>
  <si>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</si>
  <si>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</si>
  <si>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</si>
  <si>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</si>
  <si>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</si>
  <si>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</si>
  <si>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</si>
  <si>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</si>
  <si>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</si>
  <si>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</si>
  <si>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</si>
  <si>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</si>
  <si>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</si>
  <si>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</si>
  <si>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</si>
  <si>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</si>
  <si>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</si>
  <si>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</si>
  <si>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</si>
  <si>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</si>
  <si>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</si>
  <si>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</si>
  <si>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</si>
  <si>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</si>
  <si>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</si>
  <si>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</si>
  <si>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</si>
  <si>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</si>
  <si>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</si>
  <si>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</si>
  <si>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</si>
  <si>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</si>
  <si>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</si>
  <si>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</si>
  <si>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</si>
  <si>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</si>
  <si>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</si>
  <si>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</si>
  <si>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</si>
  <si>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</si>
  <si>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</si>
  <si>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</si>
  <si>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</si>
  <si>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</si>
  <si>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</si>
  <si>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</si>
  <si>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</si>
  <si>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</si>
  <si>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</si>
  <si>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</si>
  <si>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</si>
  <si>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</si>
  <si>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</si>
  <si>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</si>
  <si>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</si>
  <si>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</si>
  <si>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</si>
  <si>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</si>
  <si>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</si>
  <si>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</si>
  <si>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</si>
  <si>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</si>
  <si>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</si>
  <si>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</si>
  <si>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</si>
  <si>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</si>
  <si>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</si>
  <si>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</si>
  <si>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</si>
  <si>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</si>
  <si>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</si>
  <si>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</si>
  <si>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</si>
  <si>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</si>
  <si>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</si>
  <si>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</si>
  <si>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</si>
  <si>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</si>
  <si>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</si>
  <si>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</si>
  <si>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</si>
  <si>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</si>
  <si>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</si>
  <si>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</si>
  <si>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</si>
  <si>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</si>
  <si>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334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</si>
  <si>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</si>
  <si>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</si>
  <si>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</si>
  <si>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</si>
  <si>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</si>
  <si>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</si>
  <si>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</si>
  <si>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</si>
  <si>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</si>
  <si>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</si>
  <si>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</si>
  <si>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</si>
  <si>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</si>
  <si>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</si>
  <si>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</si>
  <si>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</si>
  <si>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</si>
  <si>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</si>
  <si>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</si>
  <si>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</si>
  <si>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</si>
  <si>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</si>
  <si>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</si>
  <si>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</si>
  <si>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</si>
  <si>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</si>
  <si>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</si>
  <si>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</si>
  <si>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</si>
  <si>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</si>
  <si>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</si>
  <si>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</si>
  <si>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</si>
  <si>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</si>
  <si>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</si>
  <si>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</si>
  <si>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</si>
  <si>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</si>
  <si>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</si>
  <si>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</si>
  <si>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</si>
  <si>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</si>
  <si>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</si>
  <si>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</si>
  <si>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</si>
  <si>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</si>
  <si>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</si>
  <si>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</si>
  <si>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</si>
  <si>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</si>
  <si>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</si>
  <si>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342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</si>
  <si>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</si>
  <si>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</si>
  <si>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</si>
  <si>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</si>
  <si>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</si>
  <si>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</si>
  <si>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</si>
  <si>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</si>
  <si>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</si>
  <si>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</si>
  <si>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</si>
  <si>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</si>
  <si>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</si>
  <si>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</si>
  <si>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</si>
  <si>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</si>
  <si>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</si>
  <si>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</si>
  <si>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</si>
  <si>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</si>
  <si>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</si>
  <si>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</si>
  <si>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</si>
  <si>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347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</si>
  <si>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</si>
  <si>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</si>
  <si>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</si>
  <si>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</si>
  <si>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</si>
  <si>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</si>
  <si>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</si>
  <si>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</si>
  <si>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</si>
  <si>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</si>
  <si>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</si>
  <si>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</si>
  <si>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</si>
  <si>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</si>
  <si>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</si>
  <si>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</si>
  <si>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</si>
  <si>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</si>
  <si>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</si>
  <si>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</si>
  <si>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</si>
  <si>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</si>
  <si>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</si>
  <si>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</si>
  <si>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</si>
  <si>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</si>
  <si>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</si>
  <si>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</si>
  <si>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</si>
  <si>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</si>
  <si>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</si>
  <si>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</si>
  <si>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</si>
  <si>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</si>
  <si>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</si>
  <si>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</si>
  <si>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327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</si>
  <si>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</si>
  <si>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</si>
  <si>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</si>
  <si>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</si>
  <si>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</si>
  <si>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</si>
  <si>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</si>
  <si>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</si>
  <si>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</si>
  <si>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</si>
  <si>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</si>
  <si>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</si>
  <si>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</si>
  <si>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</si>
  <si>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</si>
  <si>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</si>
  <si>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</si>
  <si>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</si>
  <si>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</si>
  <si>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</si>
  <si>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</si>
  <si>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</si>
  <si>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</si>
  <si>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</si>
  <si>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</si>
  <si>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</si>
  <si>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</si>
  <si>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</si>
  <si>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</si>
  <si>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</si>
  <si>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</si>
  <si>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</si>
  <si>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</si>
  <si>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</si>
  <si>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</si>
  <si>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</si>
  <si>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</si>
  <si>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</si>
  <si>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</si>
  <si>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</si>
  <si>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</si>
  <si>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</si>
  <si>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</si>
  <si>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</si>
  <si>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</si>
  <si>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</si>
  <si>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</si>
  <si>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</si>
  <si>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</si>
  <si>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</si>
  <si>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</si>
  <si>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</si>
  <si>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</si>
  <si>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</si>
  <si>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</si>
  <si>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</si>
  <si>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</si>
  <si>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</si>
  <si>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</si>
  <si>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</si>
  <si>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</si>
  <si>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</si>
  <si>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</si>
  <si>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</si>
  <si>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</si>
  <si>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</si>
  <si>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</si>
  <si>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</si>
  <si>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</si>
  <si>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</si>
  <si>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</si>
  <si>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</si>
  <si>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</si>
  <si>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</si>
  <si>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</si>
  <si>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</si>
  <si>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</si>
  <si>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</si>
  <si>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</si>
  <si>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</si>
  <si>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</si>
  <si>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</si>
  <si>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</si>
  <si>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</si>
  <si>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</si>
  <si>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</si>
  <si>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</si>
  <si>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</si>
  <si>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</si>
  <si>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</si>
  <si>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</si>
  <si>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</si>
  <si>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</si>
  <si>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</si>
  <si>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</si>
  <si>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</si>
  <si>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</si>
  <si>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</si>
  <si>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</si>
  <si>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</si>
  <si>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</si>
  <si>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</si>
  <si>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</si>
  <si>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</si>
  <si>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</si>
  <si>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</si>
  <si>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</si>
  <si>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</si>
  <si>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</si>
  <si>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</si>
  <si>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</si>
  <si>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</si>
  <si>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</si>
  <si>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</si>
  <si>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</si>
  <si>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</si>
  <si>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</si>
  <si>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</si>
  <si>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</si>
  <si>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</si>
  <si>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</si>
  <si>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</si>
  <si>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</si>
  <si>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</si>
  <si>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</si>
  <si>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</si>
  <si>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</si>
  <si>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</si>
  <si>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</si>
  <si>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</si>
  <si>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</si>
  <si>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</si>
  <si>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</si>
  <si>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</si>
  <si>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</si>
  <si>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</si>
  <si>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</si>
  <si>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</si>
  <si>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</si>
  <si>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</si>
  <si>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</si>
  <si>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</si>
  <si>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</si>
  <si>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</si>
  <si>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</si>
  <si>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</si>
  <si>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</si>
  <si>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</si>
  <si>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</si>
  <si>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</si>
  <si>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</si>
  <si>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</si>
  <si>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</si>
  <si>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</si>
  <si>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</si>
  <si>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</si>
  <si>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</si>
  <si>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</si>
  <si>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</si>
  <si>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</si>
  <si>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</si>
  <si>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</si>
  <si>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</si>
  <si>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</si>
  <si>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</si>
  <si>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</si>
  <si>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</si>
  <si>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</si>
  <si>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</si>
  <si>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</si>
  <si>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</si>
  <si>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</si>
  <si>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</si>
  <si>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</si>
  <si>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</si>
  <si>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</si>
  <si>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</si>
  <si>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</si>
  <si>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</si>
  <si>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</si>
  <si>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</si>
  <si>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</si>
  <si>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</si>
  <si>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</si>
  <si>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</si>
  <si>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</si>
  <si>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</si>
  <si>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</si>
  <si>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</si>
  <si>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</si>
  <si>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</si>
  <si>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</si>
  <si>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</si>
  <si>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</si>
  <si>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</si>
  <si>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</si>
  <si>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</si>
  <si>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</si>
  <si>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</si>
  <si>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</si>
  <si>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</si>
  <si>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</si>
  <si>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</si>
  <si>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</si>
  <si>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</si>
  <si>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</si>
  <si>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</si>
  <si>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</si>
  <si>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</si>
  <si>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</si>
  <si>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</si>
  <si>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</si>
  <si>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</si>
  <si>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</si>
  <si>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</si>
  <si>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</si>
  <si>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</si>
  <si>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</si>
  <si>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</si>
  <si>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</si>
  <si>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</si>
  <si>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</si>
  <si>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</si>
  <si>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</si>
  <si>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</si>
  <si>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</si>
  <si>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</si>
  <si>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</si>
  <si>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</si>
  <si>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</si>
  <si>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</si>
  <si>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</si>
  <si>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</si>
  <si>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</si>
  <si>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</si>
  <si>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</si>
  <si>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</si>
  <si>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</si>
  <si>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</si>
  <si>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</si>
  <si>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</si>
  <si>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</si>
  <si>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</si>
  <si>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</si>
  <si>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</si>
  <si>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</si>
  <si>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</si>
  <si>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</si>
  <si>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</si>
  <si>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</si>
  <si>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</si>
  <si>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</si>
  <si>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</si>
  <si>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</si>
  <si>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</si>
  <si>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</si>
  <si>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</si>
  <si>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</si>
  <si>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</si>
  <si>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</si>
  <si>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</si>
  <si>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</si>
  <si>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</si>
  <si>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</si>
  <si>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</si>
  <si>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</si>
  <si>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</si>
  <si>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</si>
  <si>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</si>
  <si>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</si>
  <si>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</si>
  <si>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</si>
  <si>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</si>
  <si>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</si>
  <si>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</si>
  <si>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</si>
  <si>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</si>
  <si>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</si>
  <si>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</si>
  <si>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</si>
  <si>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</si>
  <si>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</si>
  <si>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</si>
  <si>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</si>
  <si>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</si>
  <si>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</si>
  <si>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</si>
  <si>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</si>
  <si>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</si>
  <si>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</si>
  <si>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</si>
  <si>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</si>
  <si>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</si>
  <si>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</si>
  <si>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</si>
  <si>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</si>
  <si>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</si>
  <si>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</si>
  <si>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</si>
  <si>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</si>
  <si>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</si>
  <si>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</si>
  <si>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</si>
  <si>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</si>
  <si>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</si>
  <si>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</si>
  <si>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</si>
  <si>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</si>
  <si>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</si>
  <si>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</si>
  <si>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</si>
  <si>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</si>
  <si>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</si>
  <si>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</si>
  <si>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</si>
  <si>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</si>
  <si>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</si>
  <si>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</si>
  <si>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</si>
  <si>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</si>
  <si>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</si>
  <si>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</si>
  <si>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</si>
  <si>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</si>
  <si>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</si>
  <si>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</si>
  <si>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</si>
  <si>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</si>
  <si>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</si>
  <si>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</si>
  <si>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</si>
  <si>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</si>
  <si>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</si>
  <si>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</si>
  <si>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</si>
  <si>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</si>
  <si>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</si>
  <si>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</si>
  <si>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</si>
  <si>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</si>
  <si>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</si>
  <si>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</si>
  <si>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</si>
  <si>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</si>
  <si>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</si>
  <si>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</si>
  <si>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</si>
  <si>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</si>
  <si>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</si>
  <si>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</si>
  <si>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</si>
  <si>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</si>
  <si>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</si>
  <si>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</si>
  <si>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</si>
  <si>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</si>
  <si>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</si>
  <si>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</si>
  <si>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</si>
  <si>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</si>
  <si>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</si>
  <si>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</si>
  <si>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</si>
  <si>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</si>
  <si>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</si>
  <si>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</si>
  <si>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</si>
  <si>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</si>
  <si>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</si>
  <si>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</si>
  <si>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</si>
  <si>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</si>
  <si>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</si>
  <si>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</si>
  <si>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</si>
  <si>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</si>
  <si>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</si>
  <si>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</si>
  <si>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</si>
  <si>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</si>
  <si>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</si>
  <si>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</si>
  <si>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</si>
  <si>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</si>
  <si>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</si>
  <si>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</si>
  <si>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</si>
  <si>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</si>
  <si>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</si>
  <si>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</si>
  <si>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</si>
  <si>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</si>
  <si>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</si>
  <si>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</si>
  <si>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</si>
  <si>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</si>
  <si>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</si>
  <si>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</si>
  <si>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</si>
  <si>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</si>
  <si>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</si>
  <si>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</si>
  <si>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</si>
  <si>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</si>
  <si>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</si>
  <si>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</si>
  <si>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</si>
  <si>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</si>
  <si>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</si>
  <si>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</si>
  <si>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</si>
  <si>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</si>
  <si>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</si>
  <si>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</si>
  <si>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</si>
  <si>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</si>
  <si>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</si>
  <si>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</si>
  <si>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</si>
  <si>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</si>
  <si>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</si>
  <si>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</si>
  <si>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</si>
  <si>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</si>
  <si>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</si>
  <si>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</si>
  <si>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</si>
  <si>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</si>
  <si>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</si>
  <si>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</si>
  <si>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</si>
  <si>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</si>
  <si>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</si>
  <si>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</si>
  <si>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</si>
  <si>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</si>
  <si>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</si>
  <si>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</si>
  <si>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</si>
  <si>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</si>
  <si>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</si>
  <si>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</si>
  <si>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</si>
  <si>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</si>
  <si>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</si>
  <si>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</si>
  <si>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</si>
  <si>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</si>
  <si>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</si>
  <si>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</si>
  <si>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</si>
  <si>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</si>
  <si>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</si>
  <si>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</si>
  <si>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</si>
  <si>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</si>
  <si>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</si>
  <si>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</si>
  <si>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</si>
  <si>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</si>
  <si>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</si>
  <si>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</si>
  <si>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</si>
  <si>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</si>
  <si>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</si>
  <si>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</si>
  <si>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</si>
  <si>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</si>
  <si>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</si>
  <si>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</si>
  <si>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</si>
  <si>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</si>
  <si>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</si>
  <si>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</si>
  <si>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</si>
  <si>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</si>
  <si>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</si>
  <si>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</si>
  <si>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</si>
  <si>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</si>
  <si>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</si>
  <si>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</si>
  <si>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</si>
  <si>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</si>
  <si>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</si>
  <si>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</si>
  <si>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</si>
  <si>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</si>
  <si>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</si>
  <si>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</si>
  <si>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</si>
  <si>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</si>
  <si>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</si>
  <si>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</si>
  <si>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</si>
  <si>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</si>
  <si>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</si>
  <si>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</si>
  <si>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</si>
  <si>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</si>
  <si>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</si>
  <si>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</si>
  <si>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</si>
  <si>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</si>
  <si>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</si>
  <si>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</si>
  <si>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</si>
  <si>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</si>
  <si>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</si>
  <si>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</si>
  <si>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</si>
  <si>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</si>
  <si>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</si>
  <si>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</si>
  <si>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</si>
  <si>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</si>
  <si>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</si>
  <si>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</si>
  <si>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</si>
  <si>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</si>
  <si>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</si>
  <si>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</si>
  <si>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</si>
  <si>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</si>
  <si>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</si>
  <si>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</si>
  <si>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</si>
  <si>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</si>
  <si>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</si>
  <si>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</si>
  <si>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</si>
  <si>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</si>
  <si>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</si>
  <si>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</si>
  <si>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</si>
  <si>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</si>
  <si>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</si>
  <si>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</si>
  <si>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</si>
  <si>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</si>
  <si>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</si>
  <si>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</si>
  <si>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</si>
  <si>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</si>
  <si>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</si>
  <si>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</si>
  <si>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</si>
  <si>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</si>
  <si>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</si>
  <si>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</si>
  <si>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</si>
  <si>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</si>
  <si>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</si>
  <si>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</si>
  <si>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</si>
  <si>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</si>
  <si>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</si>
  <si>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</si>
  <si>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</si>
  <si>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</si>
  <si>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</si>
  <si>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</si>
  <si>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</si>
  <si>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</si>
  <si>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</si>
  <si>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</si>
  <si>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</si>
  <si>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</si>
  <si>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</si>
  <si>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</si>
  <si>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</si>
  <si>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</si>
  <si>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</si>
  <si>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</si>
  <si>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</si>
  <si>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</si>
  <si>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</si>
  <si>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</si>
  <si>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</si>
  <si>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</si>
  <si>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</si>
  <si>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</si>
  <si>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</si>
  <si>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</si>
  <si>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</si>
  <si>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</si>
  <si>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</si>
  <si>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</si>
  <si>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</si>
  <si>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</si>
  <si>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</si>
  <si>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</si>
  <si>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</si>
  <si>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</si>
  <si>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</si>
  <si>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</si>
  <si>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</si>
  <si>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</si>
  <si>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</si>
  <si>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</si>
  <si>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</si>
  <si>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</si>
  <si>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</si>
  <si>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</si>
  <si>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</si>
  <si>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</si>
  <si>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</si>
  <si>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</si>
  <si>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</si>
  <si>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</si>
  <si>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</si>
  <si>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</si>
  <si>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</si>
  <si>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</si>
  <si>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</si>
  <si>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</si>
  <si>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</si>
  <si>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</si>
  <si>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</si>
  <si>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</si>
  <si>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</si>
  <si>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</si>
  <si>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</si>
  <si>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</si>
  <si>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</si>
  <si>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</si>
  <si>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</si>
  <si>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</si>
  <si>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</si>
  <si>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</si>
  <si>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</si>
  <si>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</si>
  <si>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</si>
  <si>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</si>
  <si>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</si>
  <si>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</si>
  <si>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</si>
  <si>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</si>
  <si>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</si>
  <si>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</si>
  <si>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</si>
  <si>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</si>
  <si>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</si>
  <si>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</si>
  <si>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</si>
  <si>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</si>
  <si>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</si>
  <si>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</si>
  <si>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</si>
  <si>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</si>
  <si>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</si>
  <si>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</si>
  <si>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</si>
  <si>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</si>
  <si>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</si>
  <si>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</si>
  <si>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</si>
  <si>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</si>
  <si>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</si>
  <si>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</si>
  <si>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</si>
  <si>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</si>
  <si>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</si>
  <si>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</si>
  <si>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</si>
  <si>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</si>
  <si>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</si>
  <si>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</si>
  <si>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</si>
  <si>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</si>
  <si>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</si>
  <si>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</si>
  <si>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</si>
  <si>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</si>
  <si>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</si>
  <si>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</si>
  <si>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</si>
  <si>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</si>
  <si>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</si>
  <si>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</si>
  <si>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</si>
  <si>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</si>
  <si>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</si>
  <si>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</si>
  <si>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</si>
  <si>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</si>
  <si>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</si>
  <si>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</si>
  <si>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</si>
  <si>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</si>
  <si>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</si>
  <si>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</si>
  <si>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</si>
  <si>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</si>
  <si>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</si>
  <si>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</si>
  <si>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</si>
  <si>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</si>
  <si>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</si>
  <si>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</si>
  <si>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</si>
  <si>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</si>
  <si>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</si>
  <si>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</si>
  <si>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</si>
  <si>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</si>
  <si>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</si>
  <si>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</si>
  <si>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</si>
  <si>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</si>
  <si>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</si>
  <si>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</si>
  <si>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</si>
  <si>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</si>
  <si>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</si>
  <si>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</si>
  <si>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</si>
  <si>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</si>
  <si>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</si>
  <si>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</si>
  <si>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</si>
  <si>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</si>
  <si>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</si>
  <si>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</si>
  <si>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</si>
  <si>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</si>
  <si>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</si>
  <si>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</si>
  <si>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</si>
  <si>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</si>
  <si>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</si>
  <si>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</si>
  <si>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</si>
  <si>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</si>
  <si>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</si>
  <si>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</si>
  <si>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</si>
  <si>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</si>
  <si>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</si>
  <si>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</si>
  <si>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</si>
  <si>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</si>
  <si>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</si>
  <si>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</si>
  <si>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</si>
  <si>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</si>
  <si>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</si>
  <si>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</si>
  <si>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</si>
  <si>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</si>
  <si>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</si>
  <si>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</si>
  <si>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</si>
  <si>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</si>
  <si>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</si>
  <si>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</si>
  <si>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</si>
  <si>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</si>
  <si>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</si>
  <si>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</si>
  <si>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</si>
  <si>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</si>
  <si>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</si>
  <si>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</si>
  <si>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</si>
  <si>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</si>
  <si>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</si>
  <si>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</si>
  <si>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</si>
  <si>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</si>
  <si>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</si>
  <si>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</si>
  <si>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</si>
  <si>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</si>
  <si>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</si>
  <si>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</si>
  <si>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</si>
  <si>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</si>
  <si>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</si>
  <si>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</si>
  <si>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</si>
  <si>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</si>
  <si>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</si>
  <si>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</si>
  <si>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</si>
  <si>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</si>
  <si>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</si>
  <si>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</si>
  <si>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</si>
  <si>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</si>
  <si>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</si>
  <si>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</si>
  <si>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</si>
  <si>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</si>
  <si>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</si>
  <si>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</si>
  <si>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</si>
  <si>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</si>
  <si>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</si>
  <si>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</si>
  <si>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</si>
  <si>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</si>
  <si>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</si>
  <si>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</si>
  <si>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</si>
  <si>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</si>
  <si>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</si>
  <si>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</si>
  <si>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</si>
  <si>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</si>
  <si>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</si>
  <si>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</si>
  <si>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</si>
  <si>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</si>
  <si>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</si>
  <si>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</si>
  <si>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</si>
  <si>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</si>
  <si>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</si>
  <si>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</si>
  <si>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</si>
  <si>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</si>
  <si>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</si>
  <si>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</si>
  <si>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</si>
  <si>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</si>
  <si>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</si>
  <si>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</si>
  <si>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</si>
  <si>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</si>
  <si>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</si>
  <si>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</si>
  <si>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</si>
  <si>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</si>
  <si>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</si>
  <si>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</si>
  <si>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</si>
  <si>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</si>
  <si>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</si>
  <si>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</si>
  <si>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</si>
  <si>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</si>
  <si>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</si>
  <si>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</si>
  <si>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</si>
  <si>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</si>
  <si>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</si>
  <si>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</si>
  <si>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</si>
  <si>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</si>
  <si>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</si>
  <si>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</si>
  <si>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</si>
  <si>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</si>
  <si>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</si>
  <si>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</si>
  <si>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</si>
  <si>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</si>
  <si>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</si>
  <si>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</si>
  <si>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</si>
  <si>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</si>
  <si>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</si>
  <si>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</si>
  <si>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</si>
  <si>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</si>
  <si>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</si>
  <si>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</si>
  <si>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</si>
  <si>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</si>
  <si>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</si>
  <si>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</si>
  <si>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</si>
  <si>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</si>
  <si>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</si>
  <si>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</si>
  <si>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</si>
  <si>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</si>
  <si>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</si>
  <si>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</si>
  <si>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</si>
  <si>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</si>
  <si>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</si>
  <si>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</si>
  <si>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</si>
  <si>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</si>
  <si>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</si>
  <si>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</si>
  <si>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</si>
  <si>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</si>
  <si>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</si>
  <si>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</si>
  <si>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</si>
  <si>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</si>
  <si>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</si>
  <si>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</si>
  <si>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</si>
  <si>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</si>
  <si>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</si>
  <si>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</si>
  <si>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</si>
  <si>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</si>
  <si>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</si>
  <si>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</si>
  <si>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</si>
  <si>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</si>
  <si>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</si>
  <si>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</si>
  <si>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</si>
  <si>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</si>
  <si>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</si>
  <si>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</si>
  <si>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</si>
  <si>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</si>
  <si>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</si>
  <si>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</si>
  <si>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</si>
  <si>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</si>
  <si>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</si>
  <si>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</si>
  <si>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</si>
  <si>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</si>
  <si>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</si>
  <si>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</si>
  <si>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</si>
  <si>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</si>
  <si>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</si>
  <si>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</si>
  <si>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</si>
  <si>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</si>
  <si>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</si>
  <si>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</si>
  <si>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</si>
  <si>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</si>
  <si>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</si>
  <si>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</si>
  <si>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</si>
  <si>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</si>
  <si>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</si>
  <si>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</si>
  <si>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</si>
  <si>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</si>
  <si>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</si>
  <si>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</si>
  <si>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</si>
  <si>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</si>
  <si>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</si>
  <si>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</si>
  <si>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</si>
  <si>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</si>
  <si>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</si>
  <si>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</si>
  <si>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</si>
  <si>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</si>
  <si>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</si>
  <si>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</si>
  <si>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</si>
  <si>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</si>
  <si>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</si>
  <si>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</si>
  <si>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</si>
  <si>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</si>
  <si>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</si>
  <si>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</si>
  <si>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</si>
  <si>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</si>
  <si>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</si>
  <si>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</si>
  <si>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</si>
  <si>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</si>
  <si>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</si>
  <si>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</si>
  <si>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</si>
  <si>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</si>
  <si>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</si>
  <si>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</si>
  <si>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</si>
  <si>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</si>
  <si>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</si>
  <si>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</si>
  <si>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</si>
  <si>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</si>
  <si>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</si>
  <si>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</si>
  <si>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</si>
  <si>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</si>
  <si>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</si>
  <si>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</si>
  <si>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</si>
  <si>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</si>
  <si>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</si>
  <si>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</si>
  <si>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</si>
  <si>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</si>
  <si>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</si>
  <si>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</si>
  <si>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</si>
  <si>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</si>
  <si>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</si>
  <si>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</si>
  <si>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</si>
  <si>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</si>
  <si>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</si>
  <si>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</si>
  <si>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</si>
  <si>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</si>
  <si>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</si>
  <si>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</si>
  <si>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</si>
  <si>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</si>
  <si>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</si>
  <si>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</si>
  <si>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</si>
  <si>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</si>
  <si>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</si>
  <si>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</si>
  <si>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</si>
  <si>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</si>
  <si>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</si>
  <si>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</si>
  <si>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</si>
  <si>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</si>
  <si>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</si>
  <si>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</si>
  <si>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</si>
  <si>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</si>
  <si>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</si>
  <si>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</si>
  <si>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</si>
  <si>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</si>
  <si>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</si>
  <si>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</si>
  <si>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</si>
  <si>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</si>
  <si>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</si>
  <si>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</si>
  <si>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</si>
  <si>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</si>
  <si>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</si>
  <si>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</si>
  <si>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</si>
  <si>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</si>
  <si>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</si>
  <si>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</si>
  <si>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</si>
  <si>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</si>
  <si>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</si>
  <si>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</si>
  <si>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</si>
  <si>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</si>
  <si>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</si>
  <si>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</si>
  <si>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</si>
  <si>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</si>
  <si>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</si>
  <si>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</si>
  <si>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</si>
  <si>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</si>
  <si>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</si>
  <si>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</si>
  <si>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</si>
  <si>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</si>
  <si>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</si>
  <si>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</si>
  <si>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</si>
  <si>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</si>
  <si>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</si>
  <si>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</si>
  <si>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</si>
  <si>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</si>
  <si>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</si>
  <si>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</si>
  <si>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</si>
  <si>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</si>
  <si>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</si>
  <si>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</si>
  <si>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</si>
  <si>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</si>
  <si>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</si>
  <si>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</si>
  <si>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</si>
  <si>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</si>
  <si>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</si>
  <si>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</si>
  <si>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</si>
  <si>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</si>
  <si>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</si>
  <si>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</si>
  <si>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</si>
  <si>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</si>
  <si>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</si>
  <si>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</si>
  <si>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</si>
  <si>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</si>
  <si>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</si>
  <si>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</si>
  <si>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</si>
  <si>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</si>
  <si>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</si>
  <si>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</si>
  <si>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</si>
  <si>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</si>
  <si>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</si>
  <si>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</si>
  <si>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</si>
  <si>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</si>
  <si>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</si>
  <si>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</si>
  <si>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</si>
  <si>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</si>
  <si>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</si>
  <si>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</si>
  <si>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</si>
  <si>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</si>
  <si>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</si>
  <si>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</si>
  <si>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</si>
  <si>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</si>
  <si>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</si>
  <si>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</si>
  <si>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</si>
  <si>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</si>
  <si>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</si>
  <si>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</si>
  <si>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</si>
  <si>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</si>
  <si>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</si>
  <si>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</si>
  <si>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</si>
  <si>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</si>
  <si>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</si>
  <si>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</si>
  <si>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</si>
  <si>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</si>
  <si>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</si>
  <si>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</si>
  <si>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</si>
  <si>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</si>
  <si>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</si>
  <si>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</si>
  <si>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</si>
  <si>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</si>
  <si>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</si>
  <si>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</si>
  <si>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</si>
  <si>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</si>
  <si>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</si>
  <si>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</si>
  <si>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</si>
  <si>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</si>
  <si>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</si>
  <si>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</si>
  <si>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</si>
  <si>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</si>
  <si>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</si>
  <si>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</si>
  <si>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</si>
  <si>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</si>
  <si>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</si>
  <si>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</si>
  <si>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</si>
  <si>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</si>
  <si>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</si>
  <si>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</si>
  <si>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</si>
  <si>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</si>
  <si>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</si>
  <si>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</si>
  <si>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</si>
  <si>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</si>
  <si>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</si>
  <si>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</si>
  <si>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</si>
  <si>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</si>
  <si>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</si>
  <si>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</si>
  <si>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</si>
  <si>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</si>
  <si>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</si>
  <si>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</si>
  <si>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</si>
  <si>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</si>
  <si>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</si>
  <si>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</si>
  <si>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</si>
  <si>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</si>
  <si>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</si>
  <si>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</si>
  <si>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</si>
  <si>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</si>
  <si>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</si>
  <si>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</si>
  <si>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</si>
  <si>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</si>
  <si>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</si>
  <si>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</si>
  <si>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</si>
  <si>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</si>
  <si>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</si>
  <si>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</si>
  <si>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</si>
  <si>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</si>
  <si>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</si>
  <si>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</si>
  <si>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</si>
  <si>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</si>
  <si>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</si>
  <si>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</si>
  <si>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</si>
  <si>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</si>
  <si>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</si>
  <si>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</si>
  <si>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</si>
  <si>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</si>
  <si>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</si>
  <si>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</si>
  <si>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</si>
  <si>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</si>
  <si>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</si>
  <si>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</si>
  <si>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</si>
  <si>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</si>
  <si>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</si>
  <si>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</si>
  <si>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</si>
  <si>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</si>
  <si>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</si>
  <si>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</si>
  <si>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</si>
  <si>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</si>
  <si>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</si>
  <si>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</si>
  <si>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</si>
  <si>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</si>
  <si>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</si>
  <si>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</si>
  <si>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</si>
  <si>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</si>
  <si>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</si>
  <si>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</si>
  <si>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</si>
  <si>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</si>
  <si>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</si>
  <si>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</si>
  <si>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</si>
  <si>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</si>
  <si>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</si>
  <si>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</si>
  <si>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</si>
  <si>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</si>
  <si>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</si>
  <si>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</si>
  <si>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</si>
  <si>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</si>
  <si>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</si>
  <si>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</si>
  <si>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</si>
  <si>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</si>
  <si>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</si>
  <si>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</si>
  <si>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</si>
  <si>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</si>
  <si>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</si>
  <si>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</si>
  <si>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</si>
  <si>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</si>
  <si>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</si>
  <si>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</si>
  <si>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</si>
  <si>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</si>
  <si>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</si>
  <si>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</si>
  <si>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</si>
  <si>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</si>
  <si>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</si>
  <si>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</si>
  <si>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</si>
  <si>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</si>
  <si>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</si>
  <si>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</si>
  <si>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</si>
  <si>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</si>
  <si>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</si>
  <si>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</si>
  <si>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</si>
  <si>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</si>
  <si>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</si>
  <si>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</si>
  <si>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</si>
  <si>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</si>
  <si>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</si>
  <si>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</si>
  <si>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</si>
  <si>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</si>
  <si>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</si>
  <si>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</si>
  <si>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</si>
  <si>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</si>
  <si>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</si>
  <si>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</si>
  <si>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</si>
  <si>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</si>
  <si>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</si>
  <si>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</si>
  <si>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</si>
  <si>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</si>
  <si>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</si>
  <si>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</si>
  <si>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</si>
  <si>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</si>
  <si>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</si>
  <si>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</si>
  <si>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</si>
  <si>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</si>
  <si>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</si>
  <si>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</si>
  <si>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</si>
  <si>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</si>
  <si>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</si>
  <si>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</si>
  <si>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</si>
  <si>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</si>
  <si>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</si>
  <si>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</si>
  <si>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</si>
  <si>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</si>
  <si>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</si>
  <si>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</si>
  <si>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</si>
  <si>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</si>
  <si>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</si>
  <si>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</si>
  <si>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</si>
  <si>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</si>
  <si>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</si>
  <si>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</si>
  <si>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</si>
  <si>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</si>
  <si>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</si>
  <si>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</si>
  <si>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</si>
  <si>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</si>
  <si>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</si>
  <si>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</si>
  <si>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</si>
  <si>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</si>
  <si>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</si>
  <si>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</si>
  <si>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</si>
  <si>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</si>
  <si>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</si>
  <si>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</si>
  <si>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</si>
  <si>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</si>
  <si>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</si>
  <si>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</si>
  <si>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</si>
  <si>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</si>
  <si>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</si>
  <si>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</si>
  <si>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</si>
  <si>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</si>
  <si>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</si>
  <si>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</si>
  <si>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</si>
  <si>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</si>
  <si>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</si>
  <si>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</si>
  <si>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</si>
  <si>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</si>
  <si>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</si>
  <si>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</si>
  <si>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</si>
  <si>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</si>
  <si>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</si>
  <si>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</si>
  <si>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</si>
  <si>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</si>
  <si>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</si>
  <si>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</si>
  <si>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</si>
  <si>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</si>
  <si>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</si>
  <si>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</si>
  <si>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</si>
  <si>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</si>
  <si>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</si>
  <si>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</si>
  <si>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</si>
  <si>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</si>
  <si>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</si>
  <si>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</si>
  <si>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</si>
  <si>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</si>
  <si>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</si>
  <si>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</si>
  <si>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</si>
  <si>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</si>
  <si>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</si>
  <si>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</si>
  <si>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</si>
  <si>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</si>
  <si>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</si>
  <si>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</si>
  <si>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</si>
  <si>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</si>
  <si>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</si>
  <si>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</si>
  <si>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</si>
  <si>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</si>
  <si>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</si>
  <si>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</si>
  <si>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</si>
  <si>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</si>
  <si>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</si>
  <si>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</si>
  <si>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</si>
  <si>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</si>
  <si>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</si>
  <si>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</si>
  <si>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</si>
  <si>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</si>
  <si>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</si>
  <si>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</si>
  <si>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</si>
  <si>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</si>
  <si>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</si>
  <si>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</si>
  <si>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</si>
  <si>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</si>
  <si>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</si>
  <si>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</si>
  <si>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</si>
  <si>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</si>
  <si>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</si>
  <si>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</si>
  <si>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</si>
  <si>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</si>
  <si>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</si>
  <si>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</si>
  <si>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</si>
  <si>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</si>
  <si>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</si>
  <si>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</si>
  <si>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</si>
  <si>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</si>
  <si>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</si>
  <si>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</si>
  <si>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</si>
  <si>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</si>
  <si>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</si>
  <si>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</si>
  <si>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</si>
  <si>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</si>
  <si>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</si>
  <si>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</si>
  <si>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</si>
  <si>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</si>
  <si>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</si>
  <si>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</si>
  <si>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</si>
  <si>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</si>
  <si>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</si>
  <si>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</si>
  <si>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</si>
  <si>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</si>
  <si>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</si>
  <si>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</si>
  <si>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</si>
  <si>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</si>
  <si>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</si>
  <si>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</si>
  <si>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</si>
  <si>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</si>
  <si>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</si>
  <si>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</si>
  <si>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</si>
  <si>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</si>
  <si>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</si>
  <si>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</si>
  <si>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</si>
  <si>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</si>
  <si>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</si>
  <si>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</si>
  <si>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</si>
  <si>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</si>
  <si>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</si>
  <si>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</si>
  <si>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</si>
  <si>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</si>
  <si>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</si>
  <si>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</si>
  <si>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</si>
  <si>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</si>
  <si>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</si>
  <si>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</si>
  <si>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</si>
  <si>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</si>
  <si>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</si>
  <si>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</si>
  <si>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</si>
  <si>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</si>
  <si>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</si>
  <si>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</si>
  <si>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</si>
  <si>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</si>
  <si>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</si>
  <si>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</si>
  <si>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</si>
  <si>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</si>
  <si>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</si>
  <si>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</si>
  <si>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</si>
  <si>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</si>
  <si>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</si>
  <si>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</si>
  <si>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</si>
  <si>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</si>
  <si>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</si>
  <si>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</si>
  <si>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</si>
  <si>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</si>
  <si>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</si>
  <si>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</si>
  <si>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</si>
  <si>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</si>
  <si>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</si>
  <si>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</si>
  <si>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</si>
  <si>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</si>
  <si>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</si>
  <si>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</si>
  <si>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</si>
  <si>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</si>
  <si>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</si>
  <si>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</si>
  <si>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</si>
  <si>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</si>
  <si>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</si>
  <si>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</si>
  <si>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</si>
  <si>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</si>
  <si>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</si>
  <si>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</si>
  <si>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</si>
  <si>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</si>
  <si>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</si>
  <si>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</si>
  <si>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</si>
  <si>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</si>
  <si>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</si>
  <si>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</si>
  <si>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</si>
  <si>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</si>
  <si>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</si>
  <si>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</si>
  <si>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</si>
  <si>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</si>
  <si>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</si>
  <si>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</si>
  <si>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</si>
  <si>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</si>
  <si>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</si>
  <si>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</si>
  <si>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</si>
  <si>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</si>
  <si>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</si>
  <si>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</si>
  <si>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</si>
  <si>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</si>
  <si>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</si>
  <si>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</si>
  <si>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</si>
  <si>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</si>
  <si>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</si>
  <si>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</si>
  <si>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</si>
  <si>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</si>
  <si>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</si>
  <si>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</si>
  <si>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</si>
  <si>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</si>
  <si>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</si>
  <si>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</si>
  <si>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</si>
  <si>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</si>
  <si>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</si>
  <si>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</si>
  <si>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</si>
  <si>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</si>
  <si>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</si>
  <si>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</si>
  <si>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</si>
  <si>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</si>
  <si>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</si>
  <si>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</si>
  <si>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</si>
  <si>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</si>
  <si>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</si>
  <si>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</si>
  <si>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</si>
  <si>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</si>
  <si>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</si>
  <si>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</si>
  <si>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</si>
  <si>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</si>
  <si>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</si>
  <si>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</si>
  <si>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</si>
  <si>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</si>
  <si>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</si>
  <si>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</si>
  <si>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</si>
  <si>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</si>
  <si>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</si>
  <si>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</si>
  <si>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</si>
  <si>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</si>
  <si>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</si>
  <si>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</si>
  <si>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</si>
  <si>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</si>
  <si>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</si>
  <si>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</si>
  <si>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</si>
  <si>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</si>
  <si>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</si>
  <si>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</si>
  <si>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</si>
  <si>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</si>
  <si>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</si>
  <si>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</si>
  <si>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</si>
  <si>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</si>
  <si>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</si>
  <si>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</si>
  <si>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</si>
  <si>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</si>
  <si>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</si>
  <si>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</si>
  <si>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</si>
  <si>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</si>
  <si>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</si>
  <si>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</si>
  <si>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</si>
  <si>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</si>
  <si>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</si>
  <si>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</si>
  <si>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</si>
  <si>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</si>
  <si>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</si>
  <si>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</si>
  <si>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</si>
  <si>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</si>
  <si>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</si>
  <si>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</si>
  <si>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</si>
  <si>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</si>
  <si>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</si>
  <si>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</si>
  <si>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</si>
  <si>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</si>
  <si>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</si>
  <si>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</si>
  <si>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</si>
  <si>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</si>
  <si>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</si>
  <si>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</si>
  <si>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</si>
  <si>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</si>
  <si>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</si>
  <si>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</si>
  <si>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</si>
  <si>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</si>
  <si>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</si>
  <si>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</si>
  <si>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</si>
  <si>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</si>
  <si>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</si>
  <si>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</si>
  <si>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</si>
  <si>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</si>
  <si>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</si>
  <si>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</si>
  <si>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</si>
  <si>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</si>
  <si>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</si>
  <si>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</si>
  <si>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</si>
  <si>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</si>
  <si>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</si>
  <si>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</si>
  <si>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</si>
  <si>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</si>
  <si>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</si>
  <si>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</si>
  <si>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</si>
  <si>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</si>
  <si>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</si>
  <si>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</si>
  <si>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</si>
  <si>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</si>
  <si>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</si>
  <si>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</si>
  <si>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</si>
  <si>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</si>
  <si>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</si>
  <si>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</si>
  <si>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</si>
  <si>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</si>
  <si>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</si>
  <si>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</si>
  <si>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</si>
  <si>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</si>
  <si>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</si>
  <si>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</si>
  <si>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</si>
  <si>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</si>
  <si>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</si>
  <si>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</si>
  <si>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</si>
  <si>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</si>
  <si>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</si>
  <si>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</si>
  <si>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</si>
  <si>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</si>
  <si>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</si>
  <si>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</si>
  <si>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</si>
  <si>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</si>
  <si>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</si>
  <si>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</si>
  <si>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</si>
  <si>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</si>
  <si>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</si>
  <si>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</si>
  <si>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</si>
  <si>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</si>
  <si>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</si>
  <si>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</si>
  <si>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</si>
  <si>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</si>
  <si>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</si>
  <si>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</si>
  <si>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</si>
  <si>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</si>
  <si>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</si>
  <si>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</si>
  <si>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</si>
  <si>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</si>
  <si>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</si>
  <si>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</si>
  <si>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</si>
  <si>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</si>
  <si>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</si>
  <si>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</si>
  <si>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</si>
  <si>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</si>
  <si>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</si>
  <si>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</si>
  <si>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</si>
  <si>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</si>
  <si>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</si>
  <si>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</si>
  <si>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</si>
  <si>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</si>
  <si>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</si>
  <si>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</si>
  <si>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</si>
  <si>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</si>
  <si>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</si>
  <si>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</si>
  <si>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</si>
  <si>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</si>
  <si>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</si>
  <si>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</si>
  <si>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</si>
  <si>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</si>
  <si>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</si>
  <si>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</si>
  <si>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</si>
  <si>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</si>
  <si>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</si>
  <si>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</si>
  <si>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</si>
  <si>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</si>
  <si>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</si>
  <si>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</si>
  <si>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</si>
  <si>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</si>
  <si>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</si>
  <si>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</si>
  <si>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</si>
  <si>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</si>
  <si>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</si>
  <si>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</si>
  <si>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</si>
  <si>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</si>
  <si>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</si>
  <si>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</si>
  <si>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</si>
  <si>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</si>
  <si>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</si>
  <si>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</si>
  <si>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</si>
  <si>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</si>
  <si>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</si>
  <si>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</si>
  <si>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</si>
  <si>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</si>
  <si>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</si>
  <si>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</si>
  <si>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</si>
  <si>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</si>
  <si>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</si>
  <si>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</si>
  <si>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</si>
  <si>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</si>
  <si>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</si>
  <si>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</si>
  <si>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</si>
  <si>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</si>
  <si>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</si>
  <si>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</si>
  <si>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</si>
  <si>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</si>
  <si>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</si>
  <si>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</si>
  <si>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</si>
  <si>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</si>
  <si>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</si>
  <si>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</si>
  <si>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</si>
  <si>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</si>
  <si>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</si>
  <si>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</si>
  <si>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</si>
  <si>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</si>
  <si>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</si>
  <si>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</si>
  <si>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</si>
  <si>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</si>
  <si>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</si>
  <si>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</si>
  <si>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</si>
  <si>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</si>
  <si>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</si>
  <si>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</si>
  <si>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</si>
  <si>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</si>
  <si>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</si>
  <si>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</si>
  <si>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</si>
  <si>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</si>
  <si>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</si>
  <si>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</si>
  <si>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</si>
  <si>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</si>
  <si>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</si>
  <si>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</si>
  <si>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</si>
  <si>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</si>
  <si>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</si>
  <si>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</si>
  <si>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</si>
  <si>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</si>
  <si>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</si>
  <si>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</si>
  <si>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</si>
  <si>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</si>
  <si>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</si>
  <si>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</si>
  <si>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</si>
  <si>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</si>
  <si>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</si>
  <si>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</si>
  <si>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</si>
  <si>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</si>
  <si>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</si>
  <si>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</si>
  <si>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</si>
  <si>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</si>
  <si>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</si>
  <si>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</si>
  <si>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</si>
  <si>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</si>
  <si>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</si>
  <si>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</si>
  <si>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</si>
  <si>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</si>
  <si>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</si>
  <si>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</si>
  <si>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</si>
  <si>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</si>
  <si>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</si>
  <si>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</si>
  <si>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</si>
  <si>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</si>
  <si>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</si>
  <si>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</si>
  <si>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</si>
  <si>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</si>
  <si>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</si>
  <si>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</si>
  <si>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</si>
  <si>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</si>
  <si>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</si>
  <si>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</si>
  <si>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</si>
  <si>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</si>
  <si>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</si>
  <si>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</si>
  <si>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</si>
  <si>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</si>
  <si>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</si>
  <si>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</si>
  <si>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</si>
  <si>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</si>
  <si>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</si>
  <si>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</si>
  <si>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</si>
  <si>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</si>
  <si>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</si>
  <si>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</si>
  <si>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</si>
  <si>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</si>
  <si>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</si>
  <si>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</si>
  <si>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</si>
  <si>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</si>
  <si>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</si>
  <si>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</si>
  <si>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</si>
  <si>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</si>
  <si>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</si>
  <si>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</si>
  <si>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</si>
  <si>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</si>
  <si>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</si>
  <si>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</si>
  <si>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</si>
  <si>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</si>
  <si>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</si>
  <si>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</si>
  <si>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</si>
  <si>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</si>
  <si>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</si>
  <si>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</si>
  <si>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</si>
  <si>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</si>
  <si>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</si>
  <si>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</si>
  <si>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</si>
  <si>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</si>
  <si>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</si>
  <si>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</si>
  <si>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</si>
  <si>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</si>
  <si>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</si>
  <si>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</si>
  <si>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</si>
  <si>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</si>
  <si>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</si>
  <si>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</si>
  <si>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</si>
  <si>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</si>
  <si>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</si>
  <si>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</si>
  <si>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</si>
  <si>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</si>
  <si>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</si>
  <si>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</si>
  <si>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</si>
  <si>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</si>
  <si>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</si>
  <si>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</si>
  <si>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</si>
  <si>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</si>
  <si>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</si>
  <si>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</si>
  <si>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</si>
  <si>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</si>
  <si>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</si>
  <si>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</si>
  <si>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</si>
  <si>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</si>
  <si>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</si>
  <si>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</si>
  <si>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</si>
  <si>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</si>
  <si>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</si>
  <si>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</si>
  <si>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</si>
  <si>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</si>
  <si>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</si>
  <si>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</si>
  <si>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</si>
  <si>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</si>
  <si>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</si>
  <si>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</si>
  <si>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</si>
  <si>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</si>
  <si>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</si>
  <si>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</si>
  <si>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</si>
  <si>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</si>
  <si>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</si>
  <si>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</si>
  <si>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</si>
  <si>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</si>
  <si>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</si>
  <si>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</si>
  <si>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</si>
  <si>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</si>
  <si>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</si>
  <si>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</si>
  <si>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</si>
  <si>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</si>
  <si>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</si>
  <si>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</si>
  <si>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</si>
  <si>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</si>
  <si>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</si>
  <si>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</si>
  <si>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</si>
  <si>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</si>
  <si>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</si>
  <si>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</si>
  <si>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</si>
  <si>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</si>
  <si>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</si>
  <si>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</si>
  <si>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</si>
  <si>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</si>
  <si>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</si>
  <si>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</si>
  <si>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</si>
  <si>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</si>
  <si>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</si>
  <si>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</si>
  <si>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</si>
  <si>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</si>
  <si>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</si>
  <si>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</si>
  <si>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</si>
  <si>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</si>
  <si>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</si>
  <si>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</si>
  <si>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</si>
  <si>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</si>
  <si>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</si>
  <si>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</si>
  <si>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</si>
  <si>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</si>
  <si>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</si>
  <si>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</si>
  <si>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</si>
  <si>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</si>
  <si>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</si>
  <si>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</si>
  <si>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</si>
  <si>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</si>
  <si>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</si>
  <si>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</si>
  <si>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</si>
  <si>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</si>
  <si>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</si>
  <si>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</si>
  <si>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</si>
  <si>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</si>
  <si>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</si>
  <si>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</si>
  <si>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</si>
  <si>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</si>
  <si>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</si>
  <si>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</si>
  <si>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</si>
  <si>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</si>
  <si>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</si>
  <si>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</si>
  <si>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</si>
  <si>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</si>
  <si>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</si>
  <si>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</si>
  <si>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</si>
  <si>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</si>
  <si>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</si>
  <si>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</si>
  <si>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</si>
  <si>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</si>
  <si>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</si>
  <si>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</si>
  <si>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</si>
  <si>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</si>
  <si>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</si>
  <si>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</si>
  <si>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</si>
  <si>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</si>
  <si>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</si>
  <si>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</si>
  <si>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</si>
  <si>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</si>
  <si>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</si>
  <si>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</si>
  <si>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</si>
  <si>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</si>
  <si>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</si>
  <si>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</si>
  <si>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</si>
  <si>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</si>
  <si>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</si>
  <si>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</si>
  <si>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</si>
  <si>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</si>
  <si>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</si>
  <si>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</si>
  <si>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</si>
  <si>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</si>
  <si>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</si>
  <si>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</si>
  <si>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</si>
  <si>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</si>
  <si>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</si>
  <si>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</si>
  <si>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</si>
  <si>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</si>
  <si>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</si>
  <si>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</si>
  <si>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</si>
  <si>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</si>
  <si>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</si>
  <si>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</si>
  <si>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</si>
  <si>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</si>
  <si>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</si>
  <si>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</si>
  <si>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</si>
  <si>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</si>
  <si>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</si>
  <si>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</si>
  <si>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</si>
  <si>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</si>
  <si>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</si>
  <si>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</si>
  <si>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</si>
  <si>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</si>
  <si>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</si>
  <si>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</si>
  <si>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</si>
  <si>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</si>
  <si>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</si>
  <si>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</si>
  <si>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</si>
  <si>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</si>
  <si>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</si>
  <si>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</si>
  <si>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</si>
  <si>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</si>
  <si>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</si>
  <si>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</si>
  <si>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</si>
  <si>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</si>
  <si>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</si>
  <si>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</si>
  <si>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</si>
  <si>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</si>
  <si>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</si>
  <si>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</si>
  <si>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</si>
  <si>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</si>
  <si>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</si>
  <si>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</si>
  <si>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</si>
  <si>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</si>
  <si>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</si>
  <si>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</si>
  <si>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</si>
  <si>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</si>
  <si>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</si>
  <si>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</si>
  <si>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</si>
  <si>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</si>
  <si>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</si>
  <si>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</si>
  <si>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</si>
  <si>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</si>
  <si>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</si>
  <si>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</si>
  <si>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</si>
  <si>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</si>
  <si>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</si>
  <si>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</si>
  <si>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</si>
  <si>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</si>
  <si>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</si>
  <si>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</si>
  <si>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</si>
  <si>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</si>
  <si>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</si>
  <si>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</si>
  <si>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</si>
  <si>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</si>
  <si>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</si>
  <si>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</si>
  <si>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</si>
  <si>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</si>
  <si>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</si>
  <si>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</si>
  <si>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</si>
  <si>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</si>
  <si>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</si>
  <si>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</si>
  <si>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</si>
  <si>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</si>
  <si>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</si>
  <si>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</si>
  <si>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</si>
  <si>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</si>
  <si>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</si>
  <si>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</si>
  <si>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</si>
  <si>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</si>
  <si>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</si>
  <si>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</si>
  <si>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</si>
  <si>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</si>
  <si>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</si>
  <si>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</si>
  <si>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</si>
  <si>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</si>
  <si>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</si>
  <si>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</si>
  <si>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</si>
  <si>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</si>
  <si>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</si>
  <si>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</si>
  <si>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</si>
  <si>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</si>
  <si>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</si>
  <si>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</si>
  <si>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</si>
  <si>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</si>
  <si>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</si>
  <si>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</si>
  <si>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</si>
  <si>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</si>
  <si>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</si>
  <si>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</si>
  <si>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</si>
  <si>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</si>
  <si>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</si>
  <si>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</si>
  <si>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</si>
  <si>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</si>
  <si>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</si>
  <si>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</si>
  <si>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</si>
  <si>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</si>
  <si>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</si>
  <si>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</si>
  <si>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</si>
  <si>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</si>
  <si>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</si>
  <si>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</si>
  <si>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</si>
  <si>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</si>
  <si>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</si>
  <si>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</si>
  <si>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</si>
  <si>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</si>
  <si>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</si>
  <si>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</si>
  <si>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</si>
  <si>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</si>
  <si>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</si>
  <si>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</si>
  <si>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</si>
  <si>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</si>
  <si>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</si>
  <si>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</si>
  <si>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</si>
  <si>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</si>
  <si>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</si>
  <si>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</si>
  <si>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</si>
  <si>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</si>
  <si>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</si>
  <si>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</si>
  <si>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</si>
  <si>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</si>
  <si>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</si>
  <si>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</si>
  <si>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</si>
  <si>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</si>
  <si>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</si>
  <si>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</si>
  <si>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</si>
  <si>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</si>
  <si>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</si>
  <si>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</si>
  <si>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</si>
  <si>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</si>
  <si>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</si>
  <si>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</si>
  <si>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</si>
  <si>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</si>
  <si>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</si>
  <si>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</si>
  <si>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</si>
  <si>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</si>
  <si>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</si>
  <si>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</si>
  <si>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</si>
  <si>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</si>
  <si>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</si>
  <si>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</si>
  <si>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</si>
  <si>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</si>
  <si>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</si>
  <si>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</si>
  <si>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</si>
  <si>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</si>
  <si>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</si>
  <si>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</si>
  <si>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</si>
  <si>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</si>
  <si>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</si>
  <si>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</si>
  <si>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</si>
  <si>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</si>
  <si>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</si>
  <si>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</si>
  <si>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</si>
  <si>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</si>
  <si>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</si>
  <si>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</si>
  <si>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</si>
  <si>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</si>
  <si>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</si>
  <si>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</si>
  <si>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</si>
  <si>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</si>
  <si>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</si>
  <si>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</si>
  <si>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</si>
  <si>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</si>
  <si>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</si>
  <si>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</si>
  <si>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</si>
  <si>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</si>
  <si>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</si>
  <si>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</si>
  <si>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</si>
  <si>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</si>
  <si>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</si>
  <si>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</si>
  <si>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</si>
  <si>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</si>
  <si>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</si>
  <si>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</si>
  <si>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</si>
  <si>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</si>
  <si>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</si>
  <si>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</si>
  <si>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</si>
  <si>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</si>
  <si>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</si>
  <si>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</si>
  <si>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</si>
  <si>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</si>
  <si>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</si>
  <si>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</si>
  <si>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</si>
  <si>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</si>
  <si>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</si>
  <si>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</si>
  <si>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</si>
  <si>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</si>
  <si>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</si>
  <si>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</si>
  <si>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</si>
  <si>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</si>
  <si>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</si>
  <si>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</si>
  <si>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</si>
  <si>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</si>
  <si>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</si>
  <si>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</si>
  <si>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</si>
  <si>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</si>
  <si>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</si>
  <si>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</si>
  <si>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</si>
  <si>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</si>
  <si>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</si>
  <si>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</si>
  <si>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</si>
  <si>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</si>
  <si>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</si>
  <si>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</si>
  <si>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</si>
  <si>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</si>
  <si>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</si>
  <si>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</si>
  <si>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</si>
  <si>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</si>
  <si>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</si>
  <si>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</si>
  <si>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</si>
  <si>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</si>
  <si>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</si>
  <si>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</si>
  <si>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</si>
  <si>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</si>
  <si>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</si>
  <si>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</si>
  <si>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</si>
  <si>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</si>
  <si>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</si>
  <si>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</si>
  <si>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</si>
  <si>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</si>
  <si>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</si>
  <si>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</si>
  <si>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</si>
  <si>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</si>
  <si>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</si>
  <si>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</si>
  <si>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</si>
  <si>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</si>
  <si>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</si>
  <si>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</si>
  <si>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</si>
  <si>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</si>
  <si>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</si>
  <si>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</si>
  <si>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</si>
  <si>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</si>
  <si>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</si>
  <si>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</si>
  <si>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</si>
  <si>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</si>
  <si>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</si>
  <si>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</si>
  <si>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</si>
  <si>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</si>
  <si>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</si>
  <si>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</si>
  <si>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</si>
  <si>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</si>
  <si>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</si>
  <si>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</si>
  <si>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</si>
  <si>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</si>
  <si>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</si>
  <si>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</si>
  <si>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</si>
  <si>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</si>
  <si>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</si>
  <si>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</si>
  <si>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</si>
  <si>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</si>
  <si>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</si>
  <si>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</si>
  <si>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</si>
  <si>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</si>
  <si>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</si>
  <si>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</si>
  <si>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</si>
  <si>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</si>
  <si>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</si>
  <si>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</si>
  <si>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</si>
  <si>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</si>
  <si>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</si>
  <si>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</si>
  <si>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</si>
  <si>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</si>
  <si>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</si>
  <si>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</si>
  <si>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</si>
  <si>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</si>
  <si>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</si>
  <si>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</si>
  <si>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</si>
  <si>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</si>
  <si>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</si>
  <si>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</si>
  <si>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</si>
  <si>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</si>
  <si>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</si>
  <si>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</si>
  <si>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</si>
  <si>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</si>
  <si>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</si>
  <si>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</si>
  <si>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</si>
  <si>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</si>
  <si>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</si>
  <si>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</si>
  <si>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</si>
  <si>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</si>
  <si>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</si>
  <si>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</si>
  <si>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</si>
  <si>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</si>
  <si>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</si>
  <si>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</si>
  <si>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</si>
  <si>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</si>
  <si>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</si>
  <si>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</si>
  <si>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</si>
  <si>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</si>
  <si>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</si>
  <si>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</si>
  <si>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</si>
  <si>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</si>
  <si>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</si>
  <si>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</si>
  <si>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</si>
  <si>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</si>
  <si>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</si>
  <si>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</si>
  <si>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</si>
  <si>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</si>
  <si>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</si>
  <si>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</si>
  <si>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</si>
  <si>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</si>
  <si>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</si>
  <si>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</si>
  <si>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</si>
  <si>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</si>
  <si>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</si>
  <si>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</si>
  <si>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</si>
  <si>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</si>
  <si>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</si>
  <si>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</si>
  <si>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</si>
  <si>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</si>
  <si>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</si>
  <si>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</si>
  <si>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</si>
  <si>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</si>
  <si>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</si>
  <si>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</si>
  <si>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</si>
  <si>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</si>
  <si>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</si>
  <si>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</si>
  <si>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</si>
  <si>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</si>
  <si>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</si>
  <si>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</si>
  <si>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</si>
  <si>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</si>
  <si>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</si>
  <si>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</si>
  <si>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</si>
  <si>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</si>
  <si>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</si>
  <si>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</si>
  <si>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</si>
  <si>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</si>
  <si>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</si>
  <si>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</si>
  <si>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</si>
  <si>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</si>
  <si>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</si>
  <si>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</si>
  <si>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</si>
  <si>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</si>
  <si>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</si>
  <si>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</si>
  <si>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</si>
  <si>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</si>
  <si>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</si>
  <si>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</si>
  <si>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</si>
  <si>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</si>
  <si>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</si>
  <si>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</si>
  <si>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</si>
  <si>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</si>
  <si>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</si>
  <si>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</si>
  <si>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</si>
  <si>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</si>
  <si>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</si>
  <si>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</si>
  <si>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</si>
  <si>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</si>
  <si>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</si>
  <si>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</si>
  <si>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</si>
  <si>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</si>
  <si>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</si>
  <si>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</si>
  <si>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</si>
  <si>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</si>
  <si>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</si>
  <si>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</si>
  <si>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</si>
  <si>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</si>
  <si>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</si>
  <si>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</si>
  <si>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</si>
  <si>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</si>
  <si>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</si>
  <si>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</si>
  <si>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</si>
  <si>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</si>
  <si>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</si>
  <si>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</si>
  <si>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</si>
  <si>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</si>
  <si>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</si>
  <si>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</si>
  <si>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</si>
  <si>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</si>
  <si>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</si>
  <si>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</si>
  <si>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</si>
  <si>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</si>
  <si>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</si>
  <si>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</si>
  <si>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</si>
  <si>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</si>
  <si>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</si>
  <si>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</si>
  <si>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</si>
  <si>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</si>
  <si>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</si>
  <si>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</si>
  <si>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</si>
  <si>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</si>
  <si>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</si>
  <si>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</si>
  <si>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</si>
  <si>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</si>
  <si>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</si>
  <si>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</si>
  <si>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</si>
  <si>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</si>
  <si>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</si>
  <si>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</si>
  <si>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</si>
  <si>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</si>
  <si>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</si>
  <si>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</si>
  <si>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</si>
  <si>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</si>
  <si>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</si>
  <si>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</si>
  <si>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</si>
  <si>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</si>
  <si>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</si>
  <si>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</si>
  <si>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</si>
  <si>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</si>
  <si>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</si>
  <si>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</si>
  <si>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</si>
  <si>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2022-11-12 13:12:01</t>
  </si>
  <si>
    <t>2022-11-12 13:12:02</t>
  </si>
  <si>
    <t>2022-11-12 13:12:03</t>
  </si>
  <si>
    <t>2022-11-12 13:12:04</t>
  </si>
  <si>
    <t>2022-11-12 13:12:05</t>
  </si>
  <si>
    <t>2022-11-12 13:12:06</t>
  </si>
  <si>
    <t>2022-11-12 13:12:07</t>
  </si>
  <si>
    <t>2022-11-12 13:12:08</t>
  </si>
  <si>
    <t>2022-11-12 13:12:09</t>
  </si>
  <si>
    <t>2022-11-12 13:12:10</t>
  </si>
  <si>
    <t>2022-11-12 13:12:11</t>
  </si>
  <si>
    <t>2022-11-12 13:12:12</t>
  </si>
  <si>
    <t>2022-11-12 13:12:13</t>
  </si>
  <si>
    <t>2022-11-12 13:12:14</t>
  </si>
  <si>
    <t>2022-11-12 13:12:15</t>
  </si>
  <si>
    <t>2022-11-12 13:12:16</t>
  </si>
  <si>
    <t>2022-11-12 13:12:17</t>
  </si>
  <si>
    <t>2022-11-12 13:12:18</t>
  </si>
  <si>
    <t>2022-11-12 13:12:19</t>
  </si>
  <si>
    <t>2022-11-12 13:12:20</t>
  </si>
  <si>
    <t>2022-11-12 13:12:21</t>
  </si>
  <si>
    <t>2022-11-12 13:12:22</t>
  </si>
  <si>
    <t>2022-11-12 13:12:23</t>
  </si>
  <si>
    <t>2022-11-12 13:12:24</t>
  </si>
  <si>
    <t>2022-11-12 13:12:25</t>
  </si>
  <si>
    <t>2022-11-12 13:12:26</t>
  </si>
  <si>
    <t>2022-11-12 13:12:27</t>
  </si>
  <si>
    <t>2022-11-12 13:12:28</t>
  </si>
  <si>
    <t>2022-11-12 13:12:29</t>
  </si>
  <si>
    <t>2022-11-12 13:12:30</t>
  </si>
  <si>
    <t>2022-11-12 13:12:31</t>
  </si>
  <si>
    <t>2022-11-12 13:12:32</t>
  </si>
  <si>
    <t>2022-11-12 13:12:33</t>
  </si>
  <si>
    <t>2022-11-12 13:12:34</t>
  </si>
  <si>
    <t>2022-11-12 13:12:35</t>
  </si>
  <si>
    <t>2022-11-12 13:12:36</t>
  </si>
  <si>
    <t>2022-11-12 13:12:37</t>
  </si>
  <si>
    <t>2022-11-12 13:12:38</t>
  </si>
  <si>
    <t>2022-11-12 13:12:39</t>
  </si>
  <si>
    <t>2022-11-12 13:12:40</t>
  </si>
  <si>
    <t>2022-11-12 13:12:41</t>
  </si>
  <si>
    <t>2022-11-12 13:12:42</t>
  </si>
  <si>
    <t>2022-11-12 13:12:43</t>
  </si>
  <si>
    <t>2022-11-12 13:12:44</t>
  </si>
  <si>
    <t>2022-11-12 13:12:45</t>
  </si>
  <si>
    <t>2022-11-12 13:12:46</t>
  </si>
  <si>
    <t>2022-11-12 13:12:47</t>
  </si>
  <si>
    <t>2022-11-12 13:12:48</t>
  </si>
  <si>
    <t>2022-11-12 13:12:49</t>
  </si>
  <si>
    <t>2022-11-12 13:12:50</t>
  </si>
  <si>
    <t>2022-11-12 13:12:51</t>
  </si>
  <si>
    <t>2022-11-12 13:12:52</t>
  </si>
  <si>
    <t>2022-11-12 13:12:53</t>
  </si>
  <si>
    <t>2022-11-12 13:12:54</t>
  </si>
  <si>
    <t>2022-11-12 13:12:55</t>
  </si>
  <si>
    <t>2022-11-12 13:12:56</t>
  </si>
  <si>
    <t>2022-11-12 13:12:57</t>
  </si>
  <si>
    <t>2022-11-12 13:12:58</t>
  </si>
  <si>
    <t>2022-11-12 13:12:59</t>
  </si>
  <si>
    <t>2022-11-12 13:13:00</t>
  </si>
  <si>
    <t>2022-11-12 13:13:01</t>
  </si>
  <si>
    <t>2022-11-12 13:13:02</t>
  </si>
  <si>
    <t>2022-11-12 13:13:03</t>
  </si>
  <si>
    <t>2022-11-12 13:13:04</t>
  </si>
  <si>
    <t>2022-11-12 13:13:05</t>
  </si>
  <si>
    <t>2022-11-12 13:13:06</t>
  </si>
  <si>
    <t>2022-11-12 13:13:07</t>
  </si>
  <si>
    <t>2022-11-12 13:13:08</t>
  </si>
  <si>
    <t>2022-11-12 13:13:09</t>
  </si>
  <si>
    <t>2022-11-12 13:13:10</t>
  </si>
  <si>
    <t>2022-11-12 13:13:11</t>
  </si>
  <si>
    <t>2022-11-12 13:13:12</t>
  </si>
  <si>
    <t>2022-11-12 13:13:13</t>
  </si>
  <si>
    <t>2022-11-12 13:13:14</t>
  </si>
  <si>
    <t>2022-11-12 13:13:16</t>
  </si>
  <si>
    <t>2022-11-12 13:13:17</t>
  </si>
  <si>
    <t>2022-11-12 13:13:18</t>
  </si>
  <si>
    <t>2022-11-12 13:13:19</t>
  </si>
  <si>
    <t>2022-11-12 13:13:20</t>
  </si>
  <si>
    <t>2022-11-12 13:13:21</t>
  </si>
  <si>
    <t>2022-11-12 13:13:22</t>
  </si>
  <si>
    <t>2022-11-12 13:13:23</t>
  </si>
  <si>
    <t>2022-11-12 13:13:24</t>
  </si>
  <si>
    <t>2022-11-12 13:13:25</t>
  </si>
  <si>
    <t>2022-11-12 13:13:26</t>
  </si>
  <si>
    <t>2022-11-12 13:13:27</t>
  </si>
  <si>
    <t>2022-11-12 13:13:28</t>
  </si>
  <si>
    <t>2022-11-12 13:13:29</t>
  </si>
  <si>
    <t>2022-11-12 13:13:30</t>
  </si>
  <si>
    <t>2022-11-12 13:13:31</t>
  </si>
  <si>
    <t>2022-11-12 13:15:37</t>
  </si>
  <si>
    <t>2022-11-12 13:15:38</t>
  </si>
  <si>
    <t>2022-11-12 13:15:39</t>
  </si>
  <si>
    <t>2022-11-12 13:15:40</t>
  </si>
  <si>
    <t>2022-11-12 13:15:41</t>
  </si>
  <si>
    <t>2022-11-12 13:15:42</t>
  </si>
  <si>
    <t>2022-11-12 13:15:43</t>
  </si>
  <si>
    <t>2022-11-12 13:15:44</t>
  </si>
  <si>
    <t>2022-11-12 13:15:45</t>
  </si>
  <si>
    <t>2022-11-12 13:15:46</t>
  </si>
  <si>
    <t>2022-11-12 13:15:47</t>
  </si>
  <si>
    <t>2022-11-12 13:15:48</t>
  </si>
  <si>
    <t>2022-11-12 13:15:49</t>
  </si>
  <si>
    <t>2022-11-12 13:15:50</t>
  </si>
  <si>
    <t>2022-11-12 13:15:51</t>
  </si>
  <si>
    <t>2022-11-12 13:15:52</t>
  </si>
  <si>
    <t>2022-11-12 13:15:54</t>
  </si>
  <si>
    <t>2022-11-12 13:15:55</t>
  </si>
  <si>
    <t>2022-11-12 13:15:56</t>
  </si>
  <si>
    <t>2022-11-12 13:15:57</t>
  </si>
  <si>
    <t>2022-11-12 13:15:58</t>
  </si>
  <si>
    <t>2022-11-12 13:15:59</t>
  </si>
  <si>
    <t>2022-11-12 13:16:00</t>
  </si>
  <si>
    <t>2022-11-12 13:16:01</t>
  </si>
  <si>
    <t>2022-11-12 13:16:02</t>
  </si>
  <si>
    <t>2022-11-12 13:16:03</t>
  </si>
  <si>
    <t>2022-11-12 13:16:04</t>
  </si>
  <si>
    <t>2022-11-12 13:16:05</t>
  </si>
  <si>
    <t>2022-11-12 13:16:06</t>
  </si>
  <si>
    <t>2022-11-12 13:16:07</t>
  </si>
  <si>
    <t>2022-11-12 13:16:08</t>
  </si>
  <si>
    <t>2022-11-12 13:16:09</t>
  </si>
  <si>
    <t>2022-11-12 13:16:10</t>
  </si>
  <si>
    <t>2022-11-12 13:16:11</t>
  </si>
  <si>
    <t>2022-11-12 13:16:12</t>
  </si>
  <si>
    <t>2022-11-12 13:16:13</t>
  </si>
  <si>
    <t>2022-11-12 13:16:14</t>
  </si>
  <si>
    <t>2022-11-12 13:16:15</t>
  </si>
  <si>
    <t>2022-11-12 13:16:16</t>
  </si>
  <si>
    <t>2022-11-12 13:16:17</t>
  </si>
  <si>
    <t>2022-11-12 13:16:22</t>
  </si>
  <si>
    <t>2022-11-12 13:16:23</t>
  </si>
  <si>
    <t>2022-11-12 13:16:24</t>
  </si>
  <si>
    <t>2022-11-12 13:16:25</t>
  </si>
  <si>
    <t>2022-11-12 13:16:26</t>
  </si>
  <si>
    <t>2022-11-12 13:16:27</t>
  </si>
  <si>
    <t>2022-11-12 13:16:28</t>
  </si>
  <si>
    <t>2022-11-12 13:16:29</t>
  </si>
  <si>
    <t>2022-11-12 13:16:30</t>
  </si>
  <si>
    <t>2022-11-12 13:16:31</t>
  </si>
  <si>
    <t>2022-11-12 13:16:32</t>
  </si>
  <si>
    <t>2022-11-12 13:16:34</t>
  </si>
  <si>
    <t>2022-11-12 13:16:35</t>
  </si>
  <si>
    <t>2022-11-12 13:16:36</t>
  </si>
  <si>
    <t>2022-11-12 13:16:37</t>
  </si>
  <si>
    <t>2022-11-12 13:16:38</t>
  </si>
  <si>
    <t>2022-11-12 13:16:39</t>
  </si>
  <si>
    <t>2022-11-12 13:16:40</t>
  </si>
  <si>
    <t>2022-11-12 13:16:41</t>
  </si>
  <si>
    <t>2022-11-12 13:16:42</t>
  </si>
  <si>
    <t>2022-11-12 13:16:43</t>
  </si>
  <si>
    <t>2022-11-12 13:16:44</t>
  </si>
  <si>
    <t>2022-11-12 13:16:45</t>
  </si>
  <si>
    <t>2022-11-12 13:16:46</t>
  </si>
  <si>
    <t>2022-11-12 13:16:47</t>
  </si>
  <si>
    <t>2022-11-12 13:16:48</t>
  </si>
  <si>
    <t>2022-11-12 13:16:49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</si>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</sst>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5030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/>
    </row>
    <row r="10" spans="1:5" x14ac:dyDescent="0.25">
      <c r="A10" s="5">
        <f>2</f>
      </c>
      <c r="B10" s="5" t="s">
        <v>13</v>
      </c>
      <c r="C10" s="5" t="s">
        <v>11</v>
      </c>
      <c r="D10" s="5" t="s">
        <v>12</v>
      </c>
      <c r="E10" s="5"/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/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/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/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/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/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/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/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/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/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/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/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/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/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/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/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/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/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/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/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/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/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/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/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/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/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/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/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/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/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/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/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/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/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/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/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/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/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/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/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/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/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/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/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/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/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/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/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/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/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/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/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/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/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/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/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/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/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/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/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/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/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/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/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/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/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/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/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/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/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/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/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/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/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/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/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/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/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/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/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/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/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/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/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/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/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/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/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/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/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/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/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/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/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/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/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/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/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/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/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/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/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/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/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/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/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/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/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/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/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/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/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/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/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/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/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/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/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/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/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/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/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/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/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/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/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/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/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/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/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/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/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/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/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/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/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/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/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/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/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/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/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/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/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/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/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/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/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/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/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/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/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/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/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/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/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/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/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/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/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/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/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/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/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/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/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/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/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/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/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/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/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/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/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/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/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/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/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/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/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/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/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/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/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/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/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/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/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/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/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/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/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/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/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/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/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/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/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/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/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/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/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/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/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/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/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/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/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/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/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/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/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/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/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/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/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/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/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/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/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/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/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/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/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/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/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/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/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/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/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/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/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/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/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/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/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/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/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/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/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/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/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/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/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/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/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/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/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/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/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/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/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/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/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/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/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/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/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/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/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/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/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/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/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/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/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/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/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/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/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/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/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/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/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/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/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/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/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/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/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/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/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/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/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/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/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/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/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/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/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/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/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/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/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/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/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/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/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/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/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/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/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/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/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/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/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/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/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/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/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/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/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/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/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/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/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/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/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/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/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/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/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/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/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/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/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/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/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/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/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/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/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/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/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/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/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/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/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/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/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/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/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/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/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/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/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/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/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/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/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/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/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/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/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/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/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/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/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/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/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/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/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/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/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/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/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/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/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/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/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/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/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/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/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/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/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/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/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/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/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/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/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/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/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/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/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/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/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/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/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/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/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/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/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/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/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/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/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/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/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/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/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/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/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/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/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/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/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/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/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/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/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/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/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/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/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/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/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/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/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/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/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/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/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/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/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/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/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/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/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/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/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/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/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/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/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/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/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/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/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/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/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/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/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/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/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/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/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/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/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/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/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/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/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/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/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/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/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/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/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/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/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/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/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/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/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/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/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/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/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/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/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/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/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/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/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/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/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/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/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/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/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/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/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/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/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/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/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/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/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/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/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/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/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/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/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/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/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/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/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/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/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/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/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/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/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/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/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/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/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/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/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/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/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/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/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/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/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/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/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/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/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/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/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/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/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/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/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/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/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/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/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/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/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/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/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/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/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/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/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/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/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/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/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/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/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/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/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/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/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/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/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/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/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/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/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/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/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/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/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/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/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/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/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/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/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/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/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/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/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/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/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/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/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/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/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/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/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/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/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/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/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/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/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/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/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/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/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/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/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/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/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/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/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/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/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/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/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/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/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/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/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/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/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/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/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/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/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/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/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/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/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/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/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/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/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/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/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/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/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/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/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/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/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/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/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/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/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/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/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/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/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/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/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/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/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/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/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/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/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/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/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/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/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/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/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/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/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/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/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/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/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/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/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/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/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/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/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/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/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/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/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/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/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/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/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/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/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/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/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/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/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/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/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/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/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/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/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/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/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/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/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/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/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/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/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/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/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/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/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/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/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/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/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/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/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/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/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/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/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/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/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716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718</v>
      </c>
    </row>
    <row r="714" spans="1:5" x14ac:dyDescent="0.25">
      <c r="A714" s="5">
        <f>706</f>
      </c>
      <c r="B714" s="5" t="s">
        <v>719</v>
      </c>
      <c r="C714" s="5" t="s">
        <v>11</v>
      </c>
      <c r="D714" s="5" t="s">
        <v>12</v>
      </c>
      <c r="E714" s="5" t="s">
        <v>720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722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724</v>
      </c>
    </row>
    <row r="717" spans="1:5" x14ac:dyDescent="0.25">
      <c r="A717" s="5">
        <f>709</f>
      </c>
      <c r="B717" s="5" t="s">
        <v>725</v>
      </c>
      <c r="C717" s="5" t="s">
        <v>11</v>
      </c>
      <c r="D717" s="5" t="s">
        <v>12</v>
      </c>
      <c r="E717" s="5" t="s">
        <v>726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12</v>
      </c>
      <c r="E718" s="5" t="s">
        <v>728</v>
      </c>
    </row>
    <row r="719" spans="1:5" x14ac:dyDescent="0.25">
      <c r="A719" s="5">
        <f>711</f>
      </c>
      <c r="B719" s="5" t="s">
        <v>729</v>
      </c>
      <c r="C719" s="5" t="s">
        <v>11</v>
      </c>
      <c r="D719" s="5" t="s">
        <v>12</v>
      </c>
      <c r="E719" s="5" t="s">
        <v>730</v>
      </c>
    </row>
    <row r="720" spans="1:5" x14ac:dyDescent="0.25">
      <c r="A720" s="5">
        <f>712</f>
      </c>
      <c r="B720" s="5" t="s">
        <v>731</v>
      </c>
      <c r="C720" s="5" t="s">
        <v>11</v>
      </c>
      <c r="D720" s="5" t="s">
        <v>12</v>
      </c>
      <c r="E720" s="5" t="s">
        <v>732</v>
      </c>
    </row>
    <row r="721" spans="1:5" x14ac:dyDescent="0.25">
      <c r="A721" s="5">
        <f>713</f>
      </c>
      <c r="B721" s="5" t="s">
        <v>733</v>
      </c>
      <c r="C721" s="5" t="s">
        <v>11</v>
      </c>
      <c r="D721" s="5" t="s">
        <v>12</v>
      </c>
      <c r="E721" s="5" t="s">
        <v>734</v>
      </c>
    </row>
    <row r="722" spans="1:5" x14ac:dyDescent="0.25">
      <c r="A722" s="5">
        <f>714</f>
      </c>
      <c r="B722" s="5" t="s">
        <v>735</v>
      </c>
      <c r="C722" s="5" t="s">
        <v>11</v>
      </c>
      <c r="D722" s="5" t="s">
        <v>12</v>
      </c>
      <c r="E722" s="5" t="s">
        <v>736</v>
      </c>
    </row>
    <row r="723" spans="1:5" x14ac:dyDescent="0.25">
      <c r="A723" s="5">
        <f>715</f>
      </c>
      <c r="B723" s="5" t="s">
        <v>737</v>
      </c>
      <c r="C723" s="5" t="s">
        <v>11</v>
      </c>
      <c r="D723" s="5" t="s">
        <v>12</v>
      </c>
      <c r="E723" s="5" t="s">
        <v>736</v>
      </c>
    </row>
    <row r="724" spans="1:5" x14ac:dyDescent="0.25">
      <c r="A724" s="5">
        <f>716</f>
      </c>
      <c r="B724" s="5" t="s">
        <v>738</v>
      </c>
      <c r="C724" s="5" t="s">
        <v>11</v>
      </c>
      <c r="D724" s="5" t="s">
        <v>12</v>
      </c>
      <c r="E724" s="5" t="s">
        <v>736</v>
      </c>
    </row>
    <row r="725" spans="1:5" x14ac:dyDescent="0.25">
      <c r="A725" s="5">
        <f>717</f>
      </c>
      <c r="B725" s="5" t="s">
        <v>739</v>
      </c>
      <c r="C725" s="5" t="s">
        <v>11</v>
      </c>
      <c r="D725" s="5" t="s">
        <v>12</v>
      </c>
      <c r="E725" s="5" t="s">
        <v>736</v>
      </c>
    </row>
    <row r="726" spans="1:5" x14ac:dyDescent="0.25">
      <c r="A726" s="5">
        <f>718</f>
      </c>
      <c r="B726" s="5" t="s">
        <v>740</v>
      </c>
      <c r="C726" s="5" t="s">
        <v>11</v>
      </c>
      <c r="D726" s="5" t="s">
        <v>12</v>
      </c>
      <c r="E726" s="5" t="s">
        <v>736</v>
      </c>
    </row>
    <row r="727" spans="1:5" x14ac:dyDescent="0.25">
      <c r="A727" s="5">
        <f>719</f>
      </c>
      <c r="B727" s="5" t="s">
        <v>741</v>
      </c>
      <c r="C727" s="5" t="s">
        <v>11</v>
      </c>
      <c r="D727" s="5" t="s">
        <v>12</v>
      </c>
      <c r="E727" s="5" t="s">
        <v>736</v>
      </c>
    </row>
    <row r="728" spans="1:5" x14ac:dyDescent="0.25">
      <c r="A728" s="5">
        <f>720</f>
      </c>
      <c r="B728" s="5" t="s">
        <v>742</v>
      </c>
      <c r="C728" s="5" t="s">
        <v>11</v>
      </c>
      <c r="D728" s="5" t="s">
        <v>12</v>
      </c>
      <c r="E728" s="5" t="s">
        <v>736</v>
      </c>
    </row>
    <row r="729" spans="1:5" x14ac:dyDescent="0.25">
      <c r="A729" s="5">
        <f>721</f>
      </c>
      <c r="B729" s="5" t="s">
        <v>743</v>
      </c>
      <c r="C729" s="5" t="s">
        <v>11</v>
      </c>
      <c r="D729" s="5" t="s">
        <v>12</v>
      </c>
      <c r="E729" s="5" t="s">
        <v>736</v>
      </c>
    </row>
    <row r="730" spans="1:5" x14ac:dyDescent="0.25">
      <c r="A730" s="5">
        <f>722</f>
      </c>
      <c r="B730" s="5" t="s">
        <v>744</v>
      </c>
      <c r="C730" s="5" t="s">
        <v>11</v>
      </c>
      <c r="D730" s="5" t="s">
        <v>12</v>
      </c>
      <c r="E730" s="5" t="s">
        <v>736</v>
      </c>
    </row>
    <row r="731" spans="1:5" x14ac:dyDescent="0.25">
      <c r="A731" s="5">
        <f>723</f>
      </c>
      <c r="B731" s="5" t="s">
        <v>745</v>
      </c>
      <c r="C731" s="5" t="s">
        <v>11</v>
      </c>
      <c r="D731" s="5" t="s">
        <v>12</v>
      </c>
      <c r="E731" s="5" t="s">
        <v>736</v>
      </c>
    </row>
    <row r="732" spans="1:5" x14ac:dyDescent="0.25">
      <c r="A732" s="5">
        <f>724</f>
      </c>
      <c r="B732" s="5" t="s">
        <v>746</v>
      </c>
      <c r="C732" s="5" t="s">
        <v>11</v>
      </c>
      <c r="D732" s="5" t="s">
        <v>12</v>
      </c>
      <c r="E732" s="5" t="s">
        <v>736</v>
      </c>
    </row>
    <row r="733" spans="1:5" x14ac:dyDescent="0.25">
      <c r="A733" s="5">
        <f>725</f>
      </c>
      <c r="B733" s="5" t="s">
        <v>747</v>
      </c>
      <c r="C733" s="5" t="s">
        <v>11</v>
      </c>
      <c r="D733" s="5" t="s">
        <v>12</v>
      </c>
      <c r="E733" s="5" t="s">
        <v>736</v>
      </c>
    </row>
    <row r="734" spans="1:5" x14ac:dyDescent="0.25">
      <c r="A734" s="5">
        <f>726</f>
      </c>
      <c r="B734" s="5" t="s">
        <v>748</v>
      </c>
      <c r="C734" s="5" t="s">
        <v>11</v>
      </c>
      <c r="D734" s="5" t="s">
        <v>12</v>
      </c>
      <c r="E734" s="5" t="s">
        <v>736</v>
      </c>
    </row>
    <row r="735" spans="1:5" x14ac:dyDescent="0.25">
      <c r="A735" s="5">
        <f>727</f>
      </c>
      <c r="B735" s="5" t="s">
        <v>749</v>
      </c>
      <c r="C735" s="5" t="s">
        <v>11</v>
      </c>
      <c r="D735" s="5" t="s">
        <v>12</v>
      </c>
      <c r="E735" s="5" t="s">
        <v>736</v>
      </c>
    </row>
    <row r="736" spans="1:5" x14ac:dyDescent="0.25">
      <c r="A736" s="5">
        <f>728</f>
      </c>
      <c r="B736" s="5" t="s">
        <v>750</v>
      </c>
      <c r="C736" s="5" t="s">
        <v>11</v>
      </c>
      <c r="D736" s="5" t="s">
        <v>12</v>
      </c>
      <c r="E736" s="5" t="s">
        <v>736</v>
      </c>
    </row>
    <row r="737" spans="1:5" x14ac:dyDescent="0.25">
      <c r="A737" s="5">
        <f>729</f>
      </c>
      <c r="B737" s="5" t="s">
        <v>751</v>
      </c>
      <c r="C737" s="5" t="s">
        <v>11</v>
      </c>
      <c r="D737" s="5" t="s">
        <v>12</v>
      </c>
      <c r="E737" s="5" t="s">
        <v>736</v>
      </c>
    </row>
    <row r="738" spans="1:5" x14ac:dyDescent="0.25">
      <c r="A738" s="5">
        <f>730</f>
      </c>
      <c r="B738" s="5" t="s">
        <v>752</v>
      </c>
      <c r="C738" s="5" t="s">
        <v>11</v>
      </c>
      <c r="D738" s="5" t="s">
        <v>12</v>
      </c>
      <c r="E738" s="5" t="s">
        <v>736</v>
      </c>
    </row>
    <row r="739" spans="1:5" x14ac:dyDescent="0.25">
      <c r="A739" s="5">
        <f>731</f>
      </c>
      <c r="B739" s="5" t="s">
        <v>753</v>
      </c>
      <c r="C739" s="5" t="s">
        <v>11</v>
      </c>
      <c r="D739" s="5" t="s">
        <v>12</v>
      </c>
      <c r="E739" s="5" t="s">
        <v>736</v>
      </c>
    </row>
    <row r="740" spans="1:5" x14ac:dyDescent="0.25">
      <c r="A740" s="5">
        <f>732</f>
      </c>
      <c r="B740" s="5" t="s">
        <v>754</v>
      </c>
      <c r="C740" s="5" t="s">
        <v>11</v>
      </c>
      <c r="D740" s="5" t="s">
        <v>12</v>
      </c>
      <c r="E740" s="5" t="s">
        <v>736</v>
      </c>
    </row>
    <row r="741" spans="1:5" x14ac:dyDescent="0.25">
      <c r="A741" s="5">
        <f>733</f>
      </c>
      <c r="B741" s="5" t="s">
        <v>755</v>
      </c>
      <c r="C741" s="5" t="s">
        <v>11</v>
      </c>
      <c r="D741" s="5" t="s">
        <v>12</v>
      </c>
      <c r="E741" s="5" t="s">
        <v>736</v>
      </c>
    </row>
    <row r="742" spans="1:5" x14ac:dyDescent="0.25">
      <c r="A742" s="5">
        <f>734</f>
      </c>
      <c r="B742" s="5" t="s">
        <v>756</v>
      </c>
      <c r="C742" s="5" t="s">
        <v>11</v>
      </c>
      <c r="D742" s="5" t="s">
        <v>12</v>
      </c>
      <c r="E742" s="5" t="s">
        <v>736</v>
      </c>
    </row>
    <row r="743" spans="1:5" x14ac:dyDescent="0.25">
      <c r="A743" s="5">
        <f>735</f>
      </c>
      <c r="B743" s="5" t="s">
        <v>757</v>
      </c>
      <c r="C743" s="5" t="s">
        <v>11</v>
      </c>
      <c r="D743" s="5" t="s">
        <v>12</v>
      </c>
      <c r="E743" s="5" t="s">
        <v>736</v>
      </c>
    </row>
    <row r="744" spans="1:5" x14ac:dyDescent="0.25">
      <c r="A744" s="5">
        <f>736</f>
      </c>
      <c r="B744" s="5" t="s">
        <v>758</v>
      </c>
      <c r="C744" s="5" t="s">
        <v>11</v>
      </c>
      <c r="D744" s="5" t="s">
        <v>12</v>
      </c>
      <c r="E744" s="5" t="s">
        <v>736</v>
      </c>
    </row>
    <row r="745" spans="1:5" x14ac:dyDescent="0.25">
      <c r="A745" s="5">
        <f>737</f>
      </c>
      <c r="B745" s="5" t="s">
        <v>759</v>
      </c>
      <c r="C745" s="5" t="s">
        <v>11</v>
      </c>
      <c r="D745" s="5" t="s">
        <v>12</v>
      </c>
      <c r="E745" s="5" t="s">
        <v>736</v>
      </c>
    </row>
    <row r="746" spans="1:5" x14ac:dyDescent="0.25">
      <c r="A746" s="5">
        <f>738</f>
      </c>
      <c r="B746" s="5" t="s">
        <v>760</v>
      </c>
      <c r="C746" s="5" t="s">
        <v>11</v>
      </c>
      <c r="D746" s="5" t="s">
        <v>12</v>
      </c>
      <c r="E746" s="5" t="s">
        <v>736</v>
      </c>
    </row>
    <row r="747" spans="1:5" x14ac:dyDescent="0.25">
      <c r="A747" s="5">
        <f>739</f>
      </c>
      <c r="B747" s="5" t="s">
        <v>761</v>
      </c>
      <c r="C747" s="5" t="s">
        <v>11</v>
      </c>
      <c r="D747" s="5" t="s">
        <v>12</v>
      </c>
      <c r="E747" s="5" t="s">
        <v>762</v>
      </c>
    </row>
    <row r="748" spans="1:5" x14ac:dyDescent="0.25">
      <c r="A748" s="5">
        <f>740</f>
      </c>
      <c r="B748" s="5" t="s">
        <v>763</v>
      </c>
      <c r="C748" s="5" t="s">
        <v>11</v>
      </c>
      <c r="D748" s="5" t="s">
        <v>12</v>
      </c>
      <c r="E748" s="5" t="s">
        <v>762</v>
      </c>
    </row>
    <row r="749" spans="1:5" x14ac:dyDescent="0.25">
      <c r="A749" s="5">
        <f>741</f>
      </c>
      <c r="B749" s="5" t="s">
        <v>764</v>
      </c>
      <c r="C749" s="5" t="s">
        <v>11</v>
      </c>
      <c r="D749" s="5" t="s">
        <v>12</v>
      </c>
      <c r="E749" s="5" t="s">
        <v>762</v>
      </c>
    </row>
    <row r="750" spans="1:5" x14ac:dyDescent="0.25">
      <c r="A750" s="5">
        <f>742</f>
      </c>
      <c r="B750" s="5" t="s">
        <v>765</v>
      </c>
      <c r="C750" s="5" t="s">
        <v>11</v>
      </c>
      <c r="D750" s="5" t="s">
        <v>12</v>
      </c>
      <c r="E750" s="5" t="s">
        <v>762</v>
      </c>
    </row>
    <row r="751" spans="1:5" x14ac:dyDescent="0.25">
      <c r="A751" s="5">
        <f>743</f>
      </c>
      <c r="B751" s="5" t="s">
        <v>766</v>
      </c>
      <c r="C751" s="5" t="s">
        <v>11</v>
      </c>
      <c r="D751" s="5" t="s">
        <v>12</v>
      </c>
      <c r="E751" s="5" t="s">
        <v>762</v>
      </c>
    </row>
    <row r="752" spans="1:5" x14ac:dyDescent="0.25">
      <c r="A752" s="5">
        <f>744</f>
      </c>
      <c r="B752" s="5" t="s">
        <v>767</v>
      </c>
      <c r="C752" s="5" t="s">
        <v>11</v>
      </c>
      <c r="D752" s="5" t="s">
        <v>12</v>
      </c>
      <c r="E752" s="5" t="s">
        <v>762</v>
      </c>
    </row>
    <row r="753" spans="1:5" x14ac:dyDescent="0.25">
      <c r="A753" s="5">
        <f>745</f>
      </c>
      <c r="B753" s="5" t="s">
        <v>768</v>
      </c>
      <c r="C753" s="5" t="s">
        <v>11</v>
      </c>
      <c r="D753" s="5" t="s">
        <v>12</v>
      </c>
      <c r="E753" s="5" t="s">
        <v>762</v>
      </c>
    </row>
    <row r="754" spans="1:5" x14ac:dyDescent="0.25">
      <c r="A754" s="5">
        <f>746</f>
      </c>
      <c r="B754" s="5" t="s">
        <v>769</v>
      </c>
      <c r="C754" s="5" t="s">
        <v>11</v>
      </c>
      <c r="D754" s="5" t="s">
        <v>12</v>
      </c>
      <c r="E754" s="5" t="s">
        <v>770</v>
      </c>
    </row>
    <row r="755" spans="1:5" x14ac:dyDescent="0.25">
      <c r="A755" s="5">
        <f>747</f>
      </c>
      <c r="B755" s="5" t="s">
        <v>771</v>
      </c>
      <c r="C755" s="5" t="s">
        <v>11</v>
      </c>
      <c r="D755" s="5" t="s">
        <v>12</v>
      </c>
      <c r="E755" s="5" t="s">
        <v>772</v>
      </c>
    </row>
    <row r="756" spans="1:5" x14ac:dyDescent="0.25">
      <c r="A756" s="5">
        <f>748</f>
      </c>
      <c r="B756" s="5" t="s">
        <v>773</v>
      </c>
      <c r="C756" s="5" t="s">
        <v>11</v>
      </c>
      <c r="D756" s="5" t="s">
        <v>12</v>
      </c>
      <c r="E756" s="5" t="s">
        <v>772</v>
      </c>
    </row>
    <row r="757" spans="1:5" x14ac:dyDescent="0.25">
      <c r="A757" s="5">
        <f>749</f>
      </c>
      <c r="B757" s="5" t="s">
        <v>774</v>
      </c>
      <c r="C757" s="5" t="s">
        <v>11</v>
      </c>
      <c r="D757" s="5" t="s">
        <v>12</v>
      </c>
      <c r="E757" s="5" t="s">
        <v>775</v>
      </c>
    </row>
    <row r="758" spans="1:5" x14ac:dyDescent="0.25">
      <c r="A758" s="5">
        <f>750</f>
      </c>
      <c r="B758" s="5" t="s">
        <v>776</v>
      </c>
      <c r="C758" s="5" t="s">
        <v>11</v>
      </c>
      <c r="D758" s="5" t="s">
        <v>12</v>
      </c>
      <c r="E758" s="5" t="s">
        <v>775</v>
      </c>
    </row>
    <row r="759" spans="1:5" x14ac:dyDescent="0.25">
      <c r="A759" s="5">
        <f>751</f>
      </c>
      <c r="B759" s="5" t="s">
        <v>777</v>
      </c>
      <c r="C759" s="5" t="s">
        <v>11</v>
      </c>
      <c r="D759" s="5" t="s">
        <v>12</v>
      </c>
      <c r="E759" s="5" t="s">
        <v>778</v>
      </c>
    </row>
    <row r="760" spans="1:5" x14ac:dyDescent="0.25">
      <c r="A760" s="5">
        <f>752</f>
      </c>
      <c r="B760" s="5" t="s">
        <v>779</v>
      </c>
      <c r="C760" s="5" t="s">
        <v>11</v>
      </c>
      <c r="D760" s="5" t="s">
        <v>12</v>
      </c>
      <c r="E760" s="5" t="s">
        <v>778</v>
      </c>
    </row>
    <row r="761" spans="1:5" x14ac:dyDescent="0.25">
      <c r="A761" s="5">
        <f>753</f>
      </c>
      <c r="B761" s="5" t="s">
        <v>780</v>
      </c>
      <c r="C761" s="5" t="s">
        <v>11</v>
      </c>
      <c r="D761" s="5" t="s">
        <v>12</v>
      </c>
      <c r="E761" s="5" t="s">
        <v>781</v>
      </c>
    </row>
    <row r="762" spans="1:5" x14ac:dyDescent="0.25">
      <c r="A762" s="5">
        <f>754</f>
      </c>
      <c r="B762" s="5" t="s">
        <v>782</v>
      </c>
      <c r="C762" s="5" t="s">
        <v>11</v>
      </c>
      <c r="D762" s="5" t="s">
        <v>12</v>
      </c>
      <c r="E762" s="5" t="s">
        <v>781</v>
      </c>
    </row>
    <row r="763" spans="1:5" x14ac:dyDescent="0.25">
      <c r="A763" s="5">
        <f>755</f>
      </c>
      <c r="B763" s="5" t="s">
        <v>783</v>
      </c>
      <c r="C763" s="5" t="s">
        <v>11</v>
      </c>
      <c r="D763" s="5" t="s">
        <v>12</v>
      </c>
      <c r="E763" s="5" t="s">
        <v>784</v>
      </c>
    </row>
    <row r="764" spans="1:5" x14ac:dyDescent="0.25">
      <c r="A764" s="5">
        <f>756</f>
      </c>
      <c r="B764" s="5" t="s">
        <v>785</v>
      </c>
      <c r="C764" s="5" t="s">
        <v>11</v>
      </c>
      <c r="D764" s="5" t="s">
        <v>12</v>
      </c>
      <c r="E764" s="5" t="s">
        <v>784</v>
      </c>
    </row>
    <row r="765" spans="1:5" x14ac:dyDescent="0.25">
      <c r="A765" s="5">
        <f>757</f>
      </c>
      <c r="B765" s="5" t="s">
        <v>786</v>
      </c>
      <c r="C765" s="5" t="s">
        <v>11</v>
      </c>
      <c r="D765" s="5" t="s">
        <v>12</v>
      </c>
      <c r="E765" s="5" t="s">
        <v>787</v>
      </c>
    </row>
    <row r="766" spans="1:5" x14ac:dyDescent="0.25">
      <c r="A766" s="5">
        <f>758</f>
      </c>
      <c r="B766" s="5" t="s">
        <v>788</v>
      </c>
      <c r="C766" s="5" t="s">
        <v>11</v>
      </c>
      <c r="D766" s="5" t="s">
        <v>12</v>
      </c>
      <c r="E766" s="5" t="s">
        <v>787</v>
      </c>
    </row>
    <row r="767" spans="1:5" x14ac:dyDescent="0.25">
      <c r="A767" s="5">
        <f>759</f>
      </c>
      <c r="B767" s="5" t="s">
        <v>789</v>
      </c>
      <c r="C767" s="5" t="s">
        <v>11</v>
      </c>
      <c r="D767" s="5" t="s">
        <v>12</v>
      </c>
      <c r="E767" s="5" t="s">
        <v>787</v>
      </c>
    </row>
    <row r="768" spans="1:5" x14ac:dyDescent="0.25">
      <c r="A768" s="5">
        <f>760</f>
      </c>
      <c r="B768" s="5" t="s">
        <v>790</v>
      </c>
      <c r="C768" s="5" t="s">
        <v>11</v>
      </c>
      <c r="D768" s="5" t="s">
        <v>12</v>
      </c>
      <c r="E768" s="5" t="s">
        <v>787</v>
      </c>
    </row>
    <row r="769" spans="1:5" x14ac:dyDescent="0.25">
      <c r="A769" s="5">
        <f>761</f>
      </c>
      <c r="B769" s="5" t="s">
        <v>791</v>
      </c>
      <c r="C769" s="5" t="s">
        <v>11</v>
      </c>
      <c r="D769" s="5" t="s">
        <v>12</v>
      </c>
      <c r="E769" s="5" t="s">
        <v>787</v>
      </c>
    </row>
    <row r="770" spans="1:5" x14ac:dyDescent="0.25">
      <c r="A770" s="5">
        <f>762</f>
      </c>
      <c r="B770" s="5" t="s">
        <v>792</v>
      </c>
      <c r="C770" s="5" t="s">
        <v>11</v>
      </c>
      <c r="D770" s="5" t="s">
        <v>12</v>
      </c>
      <c r="E770" s="5" t="s">
        <v>787</v>
      </c>
    </row>
    <row r="771" spans="1:5" x14ac:dyDescent="0.25">
      <c r="A771" s="5">
        <f>763</f>
      </c>
      <c r="B771" s="5" t="s">
        <v>793</v>
      </c>
      <c r="C771" s="5" t="s">
        <v>11</v>
      </c>
      <c r="D771" s="5" t="s">
        <v>12</v>
      </c>
      <c r="E771" s="5" t="s">
        <v>787</v>
      </c>
    </row>
    <row r="772" spans="1:5" x14ac:dyDescent="0.25">
      <c r="A772" s="5">
        <f>764</f>
      </c>
      <c r="B772" s="5" t="s">
        <v>794</v>
      </c>
      <c r="C772" s="5" t="s">
        <v>11</v>
      </c>
      <c r="D772" s="5" t="s">
        <v>12</v>
      </c>
      <c r="E772" s="5" t="s">
        <v>787</v>
      </c>
    </row>
    <row r="773" spans="1:5" x14ac:dyDescent="0.25">
      <c r="A773" s="5">
        <f>765</f>
      </c>
      <c r="B773" s="5" t="s">
        <v>795</v>
      </c>
      <c r="C773" s="5" t="s">
        <v>11</v>
      </c>
      <c r="D773" s="5" t="s">
        <v>12</v>
      </c>
      <c r="E773" s="5" t="s">
        <v>787</v>
      </c>
    </row>
    <row r="774" spans="1:5" x14ac:dyDescent="0.25">
      <c r="A774" s="5">
        <f>766</f>
      </c>
      <c r="B774" s="5" t="s">
        <v>796</v>
      </c>
      <c r="C774" s="5" t="s">
        <v>11</v>
      </c>
      <c r="D774" s="5" t="s">
        <v>12</v>
      </c>
      <c r="E774" s="5" t="s">
        <v>787</v>
      </c>
    </row>
    <row r="775" spans="1:5" x14ac:dyDescent="0.25">
      <c r="A775" s="5">
        <f>767</f>
      </c>
      <c r="B775" s="5" t="s">
        <v>797</v>
      </c>
      <c r="C775" s="5" t="s">
        <v>11</v>
      </c>
      <c r="D775" s="5" t="s">
        <v>12</v>
      </c>
      <c r="E775" s="5" t="s">
        <v>787</v>
      </c>
    </row>
    <row r="776" spans="1:5" x14ac:dyDescent="0.25">
      <c r="A776" s="5">
        <f>768</f>
      </c>
      <c r="B776" s="5" t="s">
        <v>798</v>
      </c>
      <c r="C776" s="5" t="s">
        <v>11</v>
      </c>
      <c r="D776" s="5" t="s">
        <v>12</v>
      </c>
      <c r="E776" s="5" t="s">
        <v>787</v>
      </c>
    </row>
    <row r="777" spans="1:5" x14ac:dyDescent="0.25">
      <c r="A777" s="5">
        <f>769</f>
      </c>
      <c r="B777" s="5" t="s">
        <v>799</v>
      </c>
      <c r="C777" s="5" t="s">
        <v>11</v>
      </c>
      <c r="D777" s="5" t="s">
        <v>12</v>
      </c>
      <c r="E777" s="5" t="s">
        <v>787</v>
      </c>
    </row>
    <row r="778" spans="1:5" x14ac:dyDescent="0.25">
      <c r="A778" s="5">
        <f>770</f>
      </c>
      <c r="B778" s="5" t="s">
        <v>800</v>
      </c>
      <c r="C778" s="5" t="s">
        <v>11</v>
      </c>
      <c r="D778" s="5" t="s">
        <v>12</v>
      </c>
      <c r="E778" s="5" t="s">
        <v>787</v>
      </c>
    </row>
    <row r="779" spans="1:5" x14ac:dyDescent="0.25">
      <c r="A779" s="5">
        <f>771</f>
      </c>
      <c r="B779" s="5" t="s">
        <v>801</v>
      </c>
      <c r="C779" s="5" t="s">
        <v>11</v>
      </c>
      <c r="D779" s="5" t="s">
        <v>12</v>
      </c>
      <c r="E779" s="5" t="s">
        <v>787</v>
      </c>
    </row>
    <row r="780" spans="1:5" x14ac:dyDescent="0.25">
      <c r="A780" s="5">
        <f>772</f>
      </c>
      <c r="B780" s="5" t="s">
        <v>802</v>
      </c>
      <c r="C780" s="5" t="s">
        <v>11</v>
      </c>
      <c r="D780" s="5" t="s">
        <v>12</v>
      </c>
      <c r="E780" s="5" t="s">
        <v>787</v>
      </c>
    </row>
    <row r="781" spans="1:5" x14ac:dyDescent="0.25">
      <c r="A781" s="5">
        <f>773</f>
      </c>
      <c r="B781" s="5" t="s">
        <v>803</v>
      </c>
      <c r="C781" s="5" t="s">
        <v>11</v>
      </c>
      <c r="D781" s="5" t="s">
        <v>12</v>
      </c>
      <c r="E781" s="5" t="s">
        <v>787</v>
      </c>
    </row>
    <row r="782" spans="1:5" x14ac:dyDescent="0.25">
      <c r="A782" s="5">
        <f>774</f>
      </c>
      <c r="B782" s="5" t="s">
        <v>804</v>
      </c>
      <c r="C782" s="5" t="s">
        <v>11</v>
      </c>
      <c r="D782" s="5" t="s">
        <v>12</v>
      </c>
      <c r="E782" s="5" t="s">
        <v>787</v>
      </c>
    </row>
    <row r="783" spans="1:5" x14ac:dyDescent="0.25">
      <c r="A783" s="5">
        <f>775</f>
      </c>
      <c r="B783" s="5" t="s">
        <v>805</v>
      </c>
      <c r="C783" s="5" t="s">
        <v>11</v>
      </c>
      <c r="D783" s="5" t="s">
        <v>12</v>
      </c>
      <c r="E783" s="5" t="s">
        <v>787</v>
      </c>
    </row>
    <row r="784" spans="1:5" x14ac:dyDescent="0.25">
      <c r="A784" s="5">
        <f>776</f>
      </c>
      <c r="B784" s="5" t="s">
        <v>806</v>
      </c>
      <c r="C784" s="5" t="s">
        <v>11</v>
      </c>
      <c r="D784" s="5" t="s">
        <v>12</v>
      </c>
      <c r="E784" s="5" t="s">
        <v>787</v>
      </c>
    </row>
    <row r="785" spans="1:5" x14ac:dyDescent="0.25">
      <c r="A785" s="5">
        <f>777</f>
      </c>
      <c r="B785" s="5" t="s">
        <v>807</v>
      </c>
      <c r="C785" s="5" t="s">
        <v>11</v>
      </c>
      <c r="D785" s="5" t="s">
        <v>12</v>
      </c>
      <c r="E785" s="5" t="s">
        <v>787</v>
      </c>
    </row>
    <row r="786" spans="1:5" x14ac:dyDescent="0.25">
      <c r="A786" s="5">
        <f>778</f>
      </c>
      <c r="B786" s="5" t="s">
        <v>808</v>
      </c>
      <c r="C786" s="5" t="s">
        <v>11</v>
      </c>
      <c r="D786" s="5" t="s">
        <v>12</v>
      </c>
      <c r="E786" s="5" t="s">
        <v>787</v>
      </c>
    </row>
    <row r="787" spans="1:5" x14ac:dyDescent="0.25">
      <c r="A787" s="5">
        <f>779</f>
      </c>
      <c r="B787" s="5" t="s">
        <v>809</v>
      </c>
      <c r="C787" s="5" t="s">
        <v>11</v>
      </c>
      <c r="D787" s="5" t="s">
        <v>12</v>
      </c>
      <c r="E787" s="5" t="s">
        <v>787</v>
      </c>
    </row>
    <row r="788" spans="1:5" x14ac:dyDescent="0.25">
      <c r="A788" s="5">
        <f>780</f>
      </c>
      <c r="B788" s="5" t="s">
        <v>810</v>
      </c>
      <c r="C788" s="5" t="s">
        <v>11</v>
      </c>
      <c r="D788" s="5" t="s">
        <v>12</v>
      </c>
      <c r="E788" s="5" t="s">
        <v>787</v>
      </c>
    </row>
    <row r="789" spans="1:5" x14ac:dyDescent="0.25">
      <c r="A789" s="5">
        <f>781</f>
      </c>
      <c r="B789" s="5" t="s">
        <v>811</v>
      </c>
      <c r="C789" s="5" t="s">
        <v>11</v>
      </c>
      <c r="D789" s="5" t="s">
        <v>12</v>
      </c>
      <c r="E789" s="5" t="s">
        <v>787</v>
      </c>
    </row>
    <row r="790" spans="1:5" x14ac:dyDescent="0.25">
      <c r="A790" s="5">
        <f>782</f>
      </c>
      <c r="B790" s="5" t="s">
        <v>812</v>
      </c>
      <c r="C790" s="5" t="s">
        <v>11</v>
      </c>
      <c r="D790" s="5" t="s">
        <v>12</v>
      </c>
      <c r="E790" s="5" t="s">
        <v>787</v>
      </c>
    </row>
    <row r="791" spans="1:5" x14ac:dyDescent="0.25">
      <c r="A791" s="5">
        <f>783</f>
      </c>
      <c r="B791" s="5" t="s">
        <v>813</v>
      </c>
      <c r="C791" s="5" t="s">
        <v>11</v>
      </c>
      <c r="D791" s="5" t="s">
        <v>12</v>
      </c>
      <c r="E791" s="5" t="s">
        <v>787</v>
      </c>
    </row>
    <row r="792" spans="1:5" x14ac:dyDescent="0.25">
      <c r="A792" s="5">
        <f>784</f>
      </c>
      <c r="B792" s="5" t="s">
        <v>814</v>
      </c>
      <c r="C792" s="5" t="s">
        <v>11</v>
      </c>
      <c r="D792" s="5" t="s">
        <v>12</v>
      </c>
      <c r="E792" s="5" t="s">
        <v>787</v>
      </c>
    </row>
    <row r="793" spans="1:5" x14ac:dyDescent="0.25">
      <c r="A793" s="5">
        <f>785</f>
      </c>
      <c r="B793" s="5" t="s">
        <v>815</v>
      </c>
      <c r="C793" s="5" t="s">
        <v>11</v>
      </c>
      <c r="D793" s="5" t="s">
        <v>12</v>
      </c>
      <c r="E793" s="5" t="s">
        <v>787</v>
      </c>
    </row>
    <row r="794" spans="1:5" x14ac:dyDescent="0.25">
      <c r="A794" s="5">
        <f>786</f>
      </c>
      <c r="B794" s="5" t="s">
        <v>816</v>
      </c>
      <c r="C794" s="5" t="s">
        <v>11</v>
      </c>
      <c r="D794" s="5" t="s">
        <v>12</v>
      </c>
      <c r="E794" s="5" t="s">
        <v>787</v>
      </c>
    </row>
    <row r="795" spans="1:5" x14ac:dyDescent="0.25">
      <c r="A795" s="5">
        <f>787</f>
      </c>
      <c r="B795" s="5" t="s">
        <v>817</v>
      </c>
      <c r="C795" s="5" t="s">
        <v>11</v>
      </c>
      <c r="D795" s="5" t="s">
        <v>12</v>
      </c>
      <c r="E795" s="5" t="s">
        <v>787</v>
      </c>
    </row>
    <row r="796" spans="1:5" x14ac:dyDescent="0.25">
      <c r="A796" s="5">
        <f>788</f>
      </c>
      <c r="B796" s="5" t="s">
        <v>818</v>
      </c>
      <c r="C796" s="5" t="s">
        <v>11</v>
      </c>
      <c r="D796" s="5" t="s">
        <v>12</v>
      </c>
      <c r="E796" s="5" t="s">
        <v>819</v>
      </c>
    </row>
    <row r="797" spans="1:5" x14ac:dyDescent="0.25">
      <c r="A797" s="5">
        <f>789</f>
      </c>
      <c r="B797" s="5" t="s">
        <v>820</v>
      </c>
      <c r="C797" s="5" t="s">
        <v>11</v>
      </c>
      <c r="D797" s="5" t="s">
        <v>12</v>
      </c>
      <c r="E797" s="5" t="s">
        <v>819</v>
      </c>
    </row>
    <row r="798" spans="1:5" x14ac:dyDescent="0.25">
      <c r="A798" s="5">
        <f>790</f>
      </c>
      <c r="B798" s="5" t="s">
        <v>821</v>
      </c>
      <c r="C798" s="5" t="s">
        <v>11</v>
      </c>
      <c r="D798" s="5" t="s">
        <v>12</v>
      </c>
      <c r="E798" s="5" t="s">
        <v>732</v>
      </c>
    </row>
    <row r="799" spans="1:5" x14ac:dyDescent="0.25">
      <c r="A799" s="5">
        <f>791</f>
      </c>
      <c r="B799" s="5" t="s">
        <v>822</v>
      </c>
      <c r="C799" s="5" t="s">
        <v>11</v>
      </c>
      <c r="D799" s="5" t="s">
        <v>12</v>
      </c>
      <c r="E799" s="5" t="s">
        <v>823</v>
      </c>
    </row>
    <row r="800" spans="1:5" x14ac:dyDescent="0.25">
      <c r="A800" s="5">
        <f>792</f>
      </c>
      <c r="B800" s="5" t="s">
        <v>824</v>
      </c>
      <c r="C800" s="5" t="s">
        <v>11</v>
      </c>
      <c r="D800" s="5" t="s">
        <v>12</v>
      </c>
      <c r="E800" s="5" t="s">
        <v>823</v>
      </c>
    </row>
    <row r="801" spans="1:5" x14ac:dyDescent="0.25">
      <c r="A801" s="5">
        <f>793</f>
      </c>
      <c r="B801" s="5" t="s">
        <v>825</v>
      </c>
      <c r="C801" s="5" t="s">
        <v>11</v>
      </c>
      <c r="D801" s="5" t="s">
        <v>12</v>
      </c>
      <c r="E801" s="5" t="s">
        <v>826</v>
      </c>
    </row>
    <row r="802" spans="1:5" x14ac:dyDescent="0.25">
      <c r="A802" s="5">
        <f>794</f>
      </c>
      <c r="B802" s="5" t="s">
        <v>827</v>
      </c>
      <c r="C802" s="5" t="s">
        <v>11</v>
      </c>
      <c r="D802" s="5" t="s">
        <v>12</v>
      </c>
      <c r="E802" s="5" t="s">
        <v>828</v>
      </c>
    </row>
    <row r="803" spans="1:5" x14ac:dyDescent="0.25">
      <c r="A803" s="5">
        <f>795</f>
      </c>
      <c r="B803" s="5" t="s">
        <v>829</v>
      </c>
      <c r="C803" s="5" t="s">
        <v>11</v>
      </c>
      <c r="D803" s="5" t="s">
        <v>12</v>
      </c>
      <c r="E803" s="5" t="s">
        <v>830</v>
      </c>
    </row>
    <row r="804" spans="1:5" x14ac:dyDescent="0.25">
      <c r="A804" s="5">
        <f>796</f>
      </c>
      <c r="B804" s="5" t="s">
        <v>831</v>
      </c>
      <c r="C804" s="5" t="s">
        <v>11</v>
      </c>
      <c r="D804" s="5" t="s">
        <v>12</v>
      </c>
      <c r="E804" s="5" t="s">
        <v>832</v>
      </c>
    </row>
    <row r="805" spans="1:5" x14ac:dyDescent="0.25">
      <c r="A805" s="5">
        <f>797</f>
      </c>
      <c r="B805" s="5" t="s">
        <v>833</v>
      </c>
      <c r="C805" s="5" t="s">
        <v>11</v>
      </c>
      <c r="D805" s="5" t="s">
        <v>12</v>
      </c>
      <c r="E805" s="5" t="s">
        <v>826</v>
      </c>
    </row>
    <row r="806" spans="1:5" x14ac:dyDescent="0.25">
      <c r="A806" s="5">
        <f>798</f>
      </c>
      <c r="B806" s="5" t="s">
        <v>834</v>
      </c>
      <c r="C806" s="5" t="s">
        <v>11</v>
      </c>
      <c r="D806" s="5" t="s">
        <v>12</v>
      </c>
      <c r="E806" s="5" t="s">
        <v>835</v>
      </c>
    </row>
    <row r="807" spans="1:5" x14ac:dyDescent="0.25">
      <c r="A807" s="5">
        <f>799</f>
      </c>
      <c r="B807" s="5" t="s">
        <v>836</v>
      </c>
      <c r="C807" s="5" t="s">
        <v>11</v>
      </c>
      <c r="D807" s="5" t="s">
        <v>12</v>
      </c>
      <c r="E807" s="5" t="s">
        <v>826</v>
      </c>
    </row>
    <row r="808" spans="1:5" x14ac:dyDescent="0.25">
      <c r="A808" s="5">
        <f>800</f>
      </c>
      <c r="B808" s="5" t="s">
        <v>837</v>
      </c>
      <c r="C808" s="5" t="s">
        <v>11</v>
      </c>
      <c r="D808" s="5" t="s">
        <v>12</v>
      </c>
      <c r="E808" s="5" t="s">
        <v>838</v>
      </c>
    </row>
    <row r="809" spans="1:5" x14ac:dyDescent="0.25">
      <c r="A809" s="5">
        <f>801</f>
      </c>
      <c r="B809" s="5" t="s">
        <v>839</v>
      </c>
      <c r="C809" s="5" t="s">
        <v>11</v>
      </c>
      <c r="D809" s="5" t="s">
        <v>12</v>
      </c>
      <c r="E809" s="5" t="s">
        <v>840</v>
      </c>
    </row>
    <row r="810" spans="1:5" x14ac:dyDescent="0.25">
      <c r="A810" s="5">
        <f>802</f>
      </c>
      <c r="B810" s="5" t="s">
        <v>841</v>
      </c>
      <c r="C810" s="5" t="s">
        <v>11</v>
      </c>
      <c r="D810" s="5" t="s">
        <v>12</v>
      </c>
      <c r="E810" s="5" t="s">
        <v>840</v>
      </c>
    </row>
    <row r="811" spans="1:5" x14ac:dyDescent="0.25">
      <c r="A811" s="5">
        <f>803</f>
      </c>
      <c r="B811" s="5" t="s">
        <v>842</v>
      </c>
      <c r="C811" s="5" t="s">
        <v>11</v>
      </c>
      <c r="D811" s="5" t="s">
        <v>12</v>
      </c>
      <c r="E811" s="5" t="s">
        <v>843</v>
      </c>
    </row>
    <row r="812" spans="1:5" x14ac:dyDescent="0.25">
      <c r="A812" s="5">
        <f>804</f>
      </c>
      <c r="B812" s="5" t="s">
        <v>844</v>
      </c>
      <c r="C812" s="5" t="s">
        <v>11</v>
      </c>
      <c r="D812" s="5" t="s">
        <v>12</v>
      </c>
      <c r="E812" s="5" t="s">
        <v>843</v>
      </c>
    </row>
    <row r="813" spans="1:5" x14ac:dyDescent="0.25">
      <c r="A813" s="5">
        <f>805</f>
      </c>
      <c r="B813" s="5" t="s">
        <v>845</v>
      </c>
      <c r="C813" s="5" t="s">
        <v>11</v>
      </c>
      <c r="D813" s="5" t="s">
        <v>12</v>
      </c>
      <c r="E813" s="5" t="s">
        <v>846</v>
      </c>
    </row>
    <row r="814" spans="1:5" x14ac:dyDescent="0.25">
      <c r="A814" s="5">
        <f>806</f>
      </c>
      <c r="B814" s="5" t="s">
        <v>847</v>
      </c>
      <c r="C814" s="5" t="s">
        <v>11</v>
      </c>
      <c r="D814" s="5" t="s">
        <v>12</v>
      </c>
      <c r="E814" s="5" t="s">
        <v>846</v>
      </c>
    </row>
    <row r="815" spans="1:5" x14ac:dyDescent="0.25">
      <c r="A815" s="5">
        <f>807</f>
      </c>
      <c r="B815" s="5" t="s">
        <v>848</v>
      </c>
      <c r="C815" s="5" t="s">
        <v>11</v>
      </c>
      <c r="D815" s="5" t="s">
        <v>12</v>
      </c>
      <c r="E815" s="5" t="s">
        <v>849</v>
      </c>
    </row>
    <row r="816" spans="1:5" x14ac:dyDescent="0.25">
      <c r="A816" s="5">
        <f>808</f>
      </c>
      <c r="B816" s="5" t="s">
        <v>850</v>
      </c>
      <c r="C816" s="5" t="s">
        <v>11</v>
      </c>
      <c r="D816" s="5" t="s">
        <v>12</v>
      </c>
      <c r="E816" s="5" t="s">
        <v>849</v>
      </c>
    </row>
    <row r="817" spans="1:5" x14ac:dyDescent="0.25">
      <c r="A817" s="5">
        <f>809</f>
      </c>
      <c r="B817" s="5" t="s">
        <v>851</v>
      </c>
      <c r="C817" s="5" t="s">
        <v>11</v>
      </c>
      <c r="D817" s="5" t="s">
        <v>12</v>
      </c>
      <c r="E817" s="5" t="s">
        <v>849</v>
      </c>
    </row>
    <row r="818" spans="1:5" x14ac:dyDescent="0.25">
      <c r="A818" s="5">
        <f>810</f>
      </c>
      <c r="B818" s="5" t="s">
        <v>852</v>
      </c>
      <c r="C818" s="5" t="s">
        <v>11</v>
      </c>
      <c r="D818" s="5" t="s">
        <v>12</v>
      </c>
      <c r="E818" s="5" t="s">
        <v>853</v>
      </c>
    </row>
    <row r="819" spans="1:5" x14ac:dyDescent="0.25">
      <c r="A819" s="5">
        <f>811</f>
      </c>
      <c r="B819" s="5" t="s">
        <v>854</v>
      </c>
      <c r="C819" s="5" t="s">
        <v>11</v>
      </c>
      <c r="D819" s="5" t="s">
        <v>12</v>
      </c>
      <c r="E819" s="5" t="s">
        <v>853</v>
      </c>
    </row>
    <row r="820" spans="1:5" x14ac:dyDescent="0.25">
      <c r="A820" s="5">
        <f>812</f>
      </c>
      <c r="B820" s="5" t="s">
        <v>855</v>
      </c>
      <c r="C820" s="5" t="s">
        <v>11</v>
      </c>
      <c r="D820" s="5" t="s">
        <v>12</v>
      </c>
      <c r="E820" s="5" t="s">
        <v>853</v>
      </c>
    </row>
    <row r="821" spans="1:5" x14ac:dyDescent="0.25">
      <c r="A821" s="5">
        <f>813</f>
      </c>
      <c r="B821" s="5" t="s">
        <v>856</v>
      </c>
      <c r="C821" s="5" t="s">
        <v>11</v>
      </c>
      <c r="D821" s="5" t="s">
        <v>12</v>
      </c>
      <c r="E821" s="5" t="s">
        <v>853</v>
      </c>
    </row>
    <row r="822" spans="1:5" x14ac:dyDescent="0.25">
      <c r="A822" s="5">
        <f>814</f>
      </c>
      <c r="B822" s="5" t="s">
        <v>857</v>
      </c>
      <c r="C822" s="5" t="s">
        <v>11</v>
      </c>
      <c r="D822" s="5" t="s">
        <v>12</v>
      </c>
      <c r="E822" s="5" t="s">
        <v>853</v>
      </c>
    </row>
    <row r="823" spans="1:5" x14ac:dyDescent="0.25">
      <c r="A823" s="5">
        <f>815</f>
      </c>
      <c r="B823" s="5" t="s">
        <v>858</v>
      </c>
      <c r="C823" s="5" t="s">
        <v>11</v>
      </c>
      <c r="D823" s="5" t="s">
        <v>12</v>
      </c>
      <c r="E823" s="5" t="s">
        <v>853</v>
      </c>
    </row>
    <row r="824" spans="1:5" x14ac:dyDescent="0.25">
      <c r="A824" s="5">
        <f>816</f>
      </c>
      <c r="B824" s="5" t="s">
        <v>859</v>
      </c>
      <c r="C824" s="5" t="s">
        <v>11</v>
      </c>
      <c r="D824" s="5" t="s">
        <v>12</v>
      </c>
      <c r="E824" s="5" t="s">
        <v>853</v>
      </c>
    </row>
    <row r="825" spans="1:5" x14ac:dyDescent="0.25">
      <c r="A825" s="5">
        <f>817</f>
      </c>
      <c r="B825" s="5" t="s">
        <v>860</v>
      </c>
      <c r="C825" s="5" t="s">
        <v>11</v>
      </c>
      <c r="D825" s="5" t="s">
        <v>12</v>
      </c>
      <c r="E825" s="5" t="s">
        <v>853</v>
      </c>
    </row>
    <row r="826" spans="1:5" x14ac:dyDescent="0.25">
      <c r="A826" s="5">
        <f>818</f>
      </c>
      <c r="B826" s="5" t="s">
        <v>861</v>
      </c>
      <c r="C826" s="5" t="s">
        <v>11</v>
      </c>
      <c r="D826" s="5" t="s">
        <v>12</v>
      </c>
      <c r="E826" s="5" t="s">
        <v>853</v>
      </c>
    </row>
    <row r="827" spans="1:5" x14ac:dyDescent="0.25">
      <c r="A827" s="5">
        <f>819</f>
      </c>
      <c r="B827" s="5" t="s">
        <v>862</v>
      </c>
      <c r="C827" s="5" t="s">
        <v>11</v>
      </c>
      <c r="D827" s="5" t="s">
        <v>12</v>
      </c>
      <c r="E827" s="5" t="s">
        <v>853</v>
      </c>
    </row>
    <row r="828" spans="1:5" x14ac:dyDescent="0.25">
      <c r="A828" s="5">
        <f>820</f>
      </c>
      <c r="B828" s="5" t="s">
        <v>863</v>
      </c>
      <c r="C828" s="5" t="s">
        <v>11</v>
      </c>
      <c r="D828" s="5" t="s">
        <v>12</v>
      </c>
      <c r="E828" s="5" t="s">
        <v>853</v>
      </c>
    </row>
    <row r="829" spans="1:5" x14ac:dyDescent="0.25">
      <c r="A829" s="5">
        <f>821</f>
      </c>
      <c r="B829" s="5" t="s">
        <v>864</v>
      </c>
      <c r="C829" s="5" t="s">
        <v>11</v>
      </c>
      <c r="D829" s="5" t="s">
        <v>12</v>
      </c>
      <c r="E829" s="5" t="s">
        <v>853</v>
      </c>
    </row>
    <row r="830" spans="1:5" x14ac:dyDescent="0.25">
      <c r="A830" s="5">
        <f>822</f>
      </c>
      <c r="B830" s="5" t="s">
        <v>865</v>
      </c>
      <c r="C830" s="5" t="s">
        <v>11</v>
      </c>
      <c r="D830" s="5" t="s">
        <v>12</v>
      </c>
      <c r="E830" s="5" t="s">
        <v>853</v>
      </c>
    </row>
    <row r="831" spans="1:5" x14ac:dyDescent="0.25">
      <c r="A831" s="5">
        <f>823</f>
      </c>
      <c r="B831" s="5" t="s">
        <v>866</v>
      </c>
      <c r="C831" s="5" t="s">
        <v>11</v>
      </c>
      <c r="D831" s="5" t="s">
        <v>12</v>
      </c>
      <c r="E831" s="5" t="s">
        <v>853</v>
      </c>
    </row>
    <row r="832" spans="1:5" x14ac:dyDescent="0.25">
      <c r="A832" s="5">
        <f>824</f>
      </c>
      <c r="B832" s="5" t="s">
        <v>867</v>
      </c>
      <c r="C832" s="5" t="s">
        <v>11</v>
      </c>
      <c r="D832" s="5" t="s">
        <v>12</v>
      </c>
      <c r="E832" s="5" t="s">
        <v>853</v>
      </c>
    </row>
    <row r="833" spans="1:5" x14ac:dyDescent="0.25">
      <c r="A833" s="5">
        <f>825</f>
      </c>
      <c r="B833" s="5" t="s">
        <v>868</v>
      </c>
      <c r="C833" s="5" t="s">
        <v>11</v>
      </c>
      <c r="D833" s="5" t="s">
        <v>12</v>
      </c>
      <c r="E833" s="5" t="s">
        <v>869</v>
      </c>
    </row>
    <row r="834" spans="1:5" x14ac:dyDescent="0.25">
      <c r="A834" s="5">
        <f>826</f>
      </c>
      <c r="B834" s="5" t="s">
        <v>870</v>
      </c>
      <c r="C834" s="5" t="s">
        <v>11</v>
      </c>
      <c r="D834" s="5" t="s">
        <v>12</v>
      </c>
      <c r="E834" s="5" t="s">
        <v>871</v>
      </c>
    </row>
    <row r="835" spans="1:5" x14ac:dyDescent="0.25">
      <c r="A835" s="5">
        <f>827</f>
      </c>
      <c r="B835" s="5" t="s">
        <v>872</v>
      </c>
      <c r="C835" s="5" t="s">
        <v>11</v>
      </c>
      <c r="D835" s="5" t="s">
        <v>12</v>
      </c>
      <c r="E835" s="5" t="s">
        <v>873</v>
      </c>
    </row>
    <row r="836" spans="1:5" x14ac:dyDescent="0.25">
      <c r="A836" s="5">
        <f>828</f>
      </c>
      <c r="B836" s="5" t="s">
        <v>874</v>
      </c>
      <c r="C836" s="5" t="s">
        <v>11</v>
      </c>
      <c r="D836" s="5" t="s">
        <v>12</v>
      </c>
      <c r="E836" s="5" t="s">
        <v>875</v>
      </c>
    </row>
    <row r="837" spans="1:5" x14ac:dyDescent="0.25">
      <c r="A837" s="5">
        <f>829</f>
      </c>
      <c r="B837" s="5" t="s">
        <v>876</v>
      </c>
      <c r="C837" s="5" t="s">
        <v>11</v>
      </c>
      <c r="D837" s="5" t="s">
        <v>12</v>
      </c>
      <c r="E837" s="5" t="s">
        <v>835</v>
      </c>
    </row>
    <row r="838" spans="1:5" x14ac:dyDescent="0.25">
      <c r="A838" s="5">
        <f>830</f>
      </c>
      <c r="B838" s="5" t="s">
        <v>877</v>
      </c>
      <c r="C838" s="5" t="s">
        <v>11</v>
      </c>
      <c r="D838" s="5" t="s">
        <v>12</v>
      </c>
      <c r="E838" s="5" t="s">
        <v>835</v>
      </c>
    </row>
    <row r="839" spans="1:5" x14ac:dyDescent="0.25">
      <c r="A839" s="5">
        <f>831</f>
      </c>
      <c r="B839" s="5" t="s">
        <v>878</v>
      </c>
      <c r="C839" s="5" t="s">
        <v>11</v>
      </c>
      <c r="D839" s="5" t="s">
        <v>12</v>
      </c>
      <c r="E839" s="5" t="s">
        <v>879</v>
      </c>
    </row>
    <row r="840" spans="1:5" x14ac:dyDescent="0.25">
      <c r="A840" s="5">
        <f>832</f>
      </c>
      <c r="B840" s="5" t="s">
        <v>880</v>
      </c>
      <c r="C840" s="5" t="s">
        <v>11</v>
      </c>
      <c r="D840" s="5" t="s">
        <v>12</v>
      </c>
      <c r="E840" s="5" t="s">
        <v>879</v>
      </c>
    </row>
    <row r="841" spans="1:5" x14ac:dyDescent="0.25">
      <c r="A841" s="5">
        <f>833</f>
      </c>
      <c r="B841" s="5" t="s">
        <v>881</v>
      </c>
      <c r="C841" s="5" t="s">
        <v>11</v>
      </c>
      <c r="D841" s="5" t="s">
        <v>12</v>
      </c>
      <c r="E841" s="5" t="s">
        <v>882</v>
      </c>
    </row>
    <row r="842" spans="1:5" x14ac:dyDescent="0.25">
      <c r="A842" s="5">
        <f>834</f>
      </c>
      <c r="B842" s="5" t="s">
        <v>883</v>
      </c>
      <c r="C842" s="5" t="s">
        <v>11</v>
      </c>
      <c r="D842" s="5" t="s">
        <v>12</v>
      </c>
      <c r="E842" s="5" t="s">
        <v>882</v>
      </c>
    </row>
    <row r="843" spans="1:5" x14ac:dyDescent="0.25">
      <c r="A843" s="5">
        <f>835</f>
      </c>
      <c r="B843" s="5" t="s">
        <v>884</v>
      </c>
      <c r="C843" s="5" t="s">
        <v>11</v>
      </c>
      <c r="D843" s="5" t="s">
        <v>12</v>
      </c>
      <c r="E843" s="5" t="s">
        <v>885</v>
      </c>
    </row>
    <row r="844" spans="1:5" x14ac:dyDescent="0.25">
      <c r="A844" s="5">
        <f>836</f>
      </c>
      <c r="B844" s="5" t="s">
        <v>886</v>
      </c>
      <c r="C844" s="5" t="s">
        <v>11</v>
      </c>
      <c r="D844" s="5" t="s">
        <v>12</v>
      </c>
      <c r="E844" s="5" t="s">
        <v>885</v>
      </c>
    </row>
    <row r="845" spans="1:5" x14ac:dyDescent="0.25">
      <c r="A845" s="5">
        <f>837</f>
      </c>
      <c r="B845" s="5" t="s">
        <v>887</v>
      </c>
      <c r="C845" s="5" t="s">
        <v>11</v>
      </c>
      <c r="D845" s="5" t="s">
        <v>12</v>
      </c>
      <c r="E845" s="5" t="s">
        <v>885</v>
      </c>
    </row>
    <row r="846" spans="1:5" x14ac:dyDescent="0.25">
      <c r="A846" s="5">
        <f>838</f>
      </c>
      <c r="B846" s="5" t="s">
        <v>888</v>
      </c>
      <c r="C846" s="5" t="s">
        <v>11</v>
      </c>
      <c r="D846" s="5" t="s">
        <v>12</v>
      </c>
      <c r="E846" s="5" t="s">
        <v>885</v>
      </c>
    </row>
    <row r="847" spans="1:5" x14ac:dyDescent="0.25">
      <c r="A847" s="5">
        <f>839</f>
      </c>
      <c r="B847" s="5" t="s">
        <v>889</v>
      </c>
      <c r="C847" s="5" t="s">
        <v>11</v>
      </c>
      <c r="D847" s="5" t="s">
        <v>12</v>
      </c>
      <c r="E847" s="5" t="s">
        <v>885</v>
      </c>
    </row>
    <row r="848" spans="1:5" x14ac:dyDescent="0.25">
      <c r="A848" s="5">
        <f>840</f>
      </c>
      <c r="B848" s="5" t="s">
        <v>890</v>
      </c>
      <c r="C848" s="5" t="s">
        <v>11</v>
      </c>
      <c r="D848" s="5" t="s">
        <v>12</v>
      </c>
      <c r="E848" s="5" t="s">
        <v>885</v>
      </c>
    </row>
    <row r="849" spans="1:5" x14ac:dyDescent="0.25">
      <c r="A849" s="5">
        <f>841</f>
      </c>
      <c r="B849" s="5" t="s">
        <v>891</v>
      </c>
      <c r="C849" s="5" t="s">
        <v>11</v>
      </c>
      <c r="D849" s="5" t="s">
        <v>12</v>
      </c>
      <c r="E849" s="5" t="s">
        <v>892</v>
      </c>
    </row>
    <row r="850" spans="1:5" x14ac:dyDescent="0.25">
      <c r="A850" s="5">
        <f>842</f>
      </c>
      <c r="B850" s="5" t="s">
        <v>893</v>
      </c>
      <c r="C850" s="5" t="s">
        <v>11</v>
      </c>
      <c r="D850" s="5" t="s">
        <v>12</v>
      </c>
      <c r="E850" s="5" t="s">
        <v>892</v>
      </c>
    </row>
    <row r="851" spans="1:5" x14ac:dyDescent="0.25">
      <c r="A851" s="5">
        <f>843</f>
      </c>
      <c r="B851" s="5" t="s">
        <v>894</v>
      </c>
      <c r="C851" s="5" t="s">
        <v>11</v>
      </c>
      <c r="D851" s="5" t="s">
        <v>12</v>
      </c>
      <c r="E851" s="5" t="s">
        <v>892</v>
      </c>
    </row>
    <row r="852" spans="1:5" x14ac:dyDescent="0.25">
      <c r="A852" s="5">
        <f>844</f>
      </c>
      <c r="B852" s="5" t="s">
        <v>895</v>
      </c>
      <c r="C852" s="5" t="s">
        <v>11</v>
      </c>
      <c r="D852" s="5" t="s">
        <v>12</v>
      </c>
      <c r="E852" s="5" t="s">
        <v>892</v>
      </c>
    </row>
    <row r="853" spans="1:5" x14ac:dyDescent="0.25">
      <c r="A853" s="5">
        <f>845</f>
      </c>
      <c r="B853" s="5" t="s">
        <v>896</v>
      </c>
      <c r="C853" s="5" t="s">
        <v>11</v>
      </c>
      <c r="D853" s="5" t="s">
        <v>12</v>
      </c>
      <c r="E853" s="5" t="s">
        <v>892</v>
      </c>
    </row>
    <row r="854" spans="1:5" x14ac:dyDescent="0.25">
      <c r="A854" s="5">
        <f>846</f>
      </c>
      <c r="B854" s="5" t="s">
        <v>897</v>
      </c>
      <c r="C854" s="5" t="s">
        <v>11</v>
      </c>
      <c r="D854" s="5" t="s">
        <v>12</v>
      </c>
      <c r="E854" s="5" t="s">
        <v>892</v>
      </c>
    </row>
    <row r="855" spans="1:5" x14ac:dyDescent="0.25">
      <c r="A855" s="5">
        <f>847</f>
      </c>
      <c r="B855" s="5" t="s">
        <v>898</v>
      </c>
      <c r="C855" s="5" t="s">
        <v>11</v>
      </c>
      <c r="D855" s="5" t="s">
        <v>12</v>
      </c>
      <c r="E855" s="5" t="s">
        <v>892</v>
      </c>
    </row>
    <row r="856" spans="1:5" x14ac:dyDescent="0.25">
      <c r="A856" s="5">
        <f>848</f>
      </c>
      <c r="B856" s="5" t="s">
        <v>899</v>
      </c>
      <c r="C856" s="5" t="s">
        <v>11</v>
      </c>
      <c r="D856" s="5" t="s">
        <v>12</v>
      </c>
      <c r="E856" s="5" t="s">
        <v>892</v>
      </c>
    </row>
    <row r="857" spans="1:5" x14ac:dyDescent="0.25">
      <c r="A857" s="5">
        <f>849</f>
      </c>
      <c r="B857" s="5" t="s">
        <v>900</v>
      </c>
      <c r="C857" s="5" t="s">
        <v>11</v>
      </c>
      <c r="D857" s="5" t="s">
        <v>12</v>
      </c>
      <c r="E857" s="5" t="s">
        <v>892</v>
      </c>
    </row>
    <row r="858" spans="1:5" x14ac:dyDescent="0.25">
      <c r="A858" s="5">
        <f>850</f>
      </c>
      <c r="B858" s="5" t="s">
        <v>901</v>
      </c>
      <c r="C858" s="5" t="s">
        <v>11</v>
      </c>
      <c r="D858" s="5" t="s">
        <v>12</v>
      </c>
      <c r="E858" s="5" t="s">
        <v>892</v>
      </c>
    </row>
    <row r="859" spans="1:5" x14ac:dyDescent="0.25">
      <c r="A859" s="5">
        <f>851</f>
      </c>
      <c r="B859" s="5" t="s">
        <v>902</v>
      </c>
      <c r="C859" s="5" t="s">
        <v>11</v>
      </c>
      <c r="D859" s="5" t="s">
        <v>12</v>
      </c>
      <c r="E859" s="5" t="s">
        <v>892</v>
      </c>
    </row>
    <row r="860" spans="1:5" x14ac:dyDescent="0.25">
      <c r="A860" s="5">
        <f>852</f>
      </c>
      <c r="B860" s="5" t="s">
        <v>903</v>
      </c>
      <c r="C860" s="5" t="s">
        <v>11</v>
      </c>
      <c r="D860" s="5" t="s">
        <v>12</v>
      </c>
      <c r="E860" s="5" t="s">
        <v>892</v>
      </c>
    </row>
    <row r="861" spans="1:5" x14ac:dyDescent="0.25">
      <c r="A861" s="5">
        <f>853</f>
      </c>
      <c r="B861" s="5" t="s">
        <v>904</v>
      </c>
      <c r="C861" s="5" t="s">
        <v>11</v>
      </c>
      <c r="D861" s="5" t="s">
        <v>12</v>
      </c>
      <c r="E861" s="5" t="s">
        <v>892</v>
      </c>
    </row>
    <row r="862" spans="1:5" x14ac:dyDescent="0.25">
      <c r="A862" s="5">
        <f>854</f>
      </c>
      <c r="B862" s="5" t="s">
        <v>905</v>
      </c>
      <c r="C862" s="5" t="s">
        <v>11</v>
      </c>
      <c r="D862" s="5" t="s">
        <v>12</v>
      </c>
      <c r="E862" s="5" t="s">
        <v>892</v>
      </c>
    </row>
    <row r="863" spans="1:5" x14ac:dyDescent="0.25">
      <c r="A863" s="5">
        <f>855</f>
      </c>
      <c r="B863" s="5" t="s">
        <v>906</v>
      </c>
      <c r="C863" s="5" t="s">
        <v>11</v>
      </c>
      <c r="D863" s="5" t="s">
        <v>12</v>
      </c>
      <c r="E863" s="5" t="s">
        <v>892</v>
      </c>
    </row>
    <row r="864" spans="1:5" x14ac:dyDescent="0.25">
      <c r="A864" s="5">
        <f>856</f>
      </c>
      <c r="B864" s="5" t="s">
        <v>907</v>
      </c>
      <c r="C864" s="5" t="s">
        <v>11</v>
      </c>
      <c r="D864" s="5" t="s">
        <v>12</v>
      </c>
      <c r="E864" s="5" t="s">
        <v>892</v>
      </c>
    </row>
    <row r="865" spans="1:5" x14ac:dyDescent="0.25">
      <c r="A865" s="5">
        <f>857</f>
      </c>
      <c r="B865" s="5" t="s">
        <v>908</v>
      </c>
      <c r="C865" s="5" t="s">
        <v>11</v>
      </c>
      <c r="D865" s="5" t="s">
        <v>12</v>
      </c>
      <c r="E865" s="5" t="s">
        <v>892</v>
      </c>
    </row>
    <row r="866" spans="1:5" x14ac:dyDescent="0.25">
      <c r="A866" s="5">
        <f>858</f>
      </c>
      <c r="B866" s="5" t="s">
        <v>909</v>
      </c>
      <c r="C866" s="5" t="s">
        <v>11</v>
      </c>
      <c r="D866" s="5" t="s">
        <v>12</v>
      </c>
      <c r="E866" s="5" t="s">
        <v>892</v>
      </c>
    </row>
    <row r="867" spans="1:5" x14ac:dyDescent="0.25">
      <c r="A867" s="5">
        <f>859</f>
      </c>
      <c r="B867" s="5" t="s">
        <v>910</v>
      </c>
      <c r="C867" s="5" t="s">
        <v>11</v>
      </c>
      <c r="D867" s="5" t="s">
        <v>12</v>
      </c>
      <c r="E867" s="5" t="s">
        <v>892</v>
      </c>
    </row>
    <row r="868" spans="1:5" x14ac:dyDescent="0.25">
      <c r="A868" s="5">
        <f>860</f>
      </c>
      <c r="B868" s="5" t="s">
        <v>911</v>
      </c>
      <c r="C868" s="5" t="s">
        <v>11</v>
      </c>
      <c r="D868" s="5" t="s">
        <v>12</v>
      </c>
      <c r="E868" s="5" t="s">
        <v>892</v>
      </c>
    </row>
    <row r="869" spans="1:5" x14ac:dyDescent="0.25">
      <c r="A869" s="5">
        <f>861</f>
      </c>
      <c r="B869" s="5" t="s">
        <v>912</v>
      </c>
      <c r="C869" s="5" t="s">
        <v>11</v>
      </c>
      <c r="D869" s="5" t="s">
        <v>12</v>
      </c>
      <c r="E869" s="5" t="s">
        <v>892</v>
      </c>
    </row>
    <row r="870" spans="1:5" x14ac:dyDescent="0.25">
      <c r="A870" s="5">
        <f>862</f>
      </c>
      <c r="B870" s="5" t="s">
        <v>913</v>
      </c>
      <c r="C870" s="5" t="s">
        <v>11</v>
      </c>
      <c r="D870" s="5" t="s">
        <v>12</v>
      </c>
      <c r="E870" s="5" t="s">
        <v>892</v>
      </c>
    </row>
    <row r="871" spans="1:5" x14ac:dyDescent="0.25">
      <c r="A871" s="5">
        <f>863</f>
      </c>
      <c r="B871" s="5" t="s">
        <v>914</v>
      </c>
      <c r="C871" s="5" t="s">
        <v>11</v>
      </c>
      <c r="D871" s="5" t="s">
        <v>12</v>
      </c>
      <c r="E871" s="5" t="s">
        <v>892</v>
      </c>
    </row>
    <row r="872" spans="1:5" x14ac:dyDescent="0.25">
      <c r="A872" s="5">
        <f>864</f>
      </c>
      <c r="B872" s="5" t="s">
        <v>915</v>
      </c>
      <c r="C872" s="5" t="s">
        <v>11</v>
      </c>
      <c r="D872" s="5" t="s">
        <v>12</v>
      </c>
      <c r="E872" s="5" t="s">
        <v>892</v>
      </c>
    </row>
    <row r="873" spans="1:5" x14ac:dyDescent="0.25">
      <c r="A873" s="5">
        <f>865</f>
      </c>
      <c r="B873" s="5" t="s">
        <v>916</v>
      </c>
      <c r="C873" s="5" t="s">
        <v>11</v>
      </c>
      <c r="D873" s="5" t="s">
        <v>12</v>
      </c>
      <c r="E873" s="5" t="s">
        <v>917</v>
      </c>
    </row>
    <row r="874" spans="1:5" x14ac:dyDescent="0.25">
      <c r="A874" s="5">
        <f>866</f>
      </c>
      <c r="B874" s="5" t="s">
        <v>918</v>
      </c>
      <c r="C874" s="5" t="s">
        <v>11</v>
      </c>
      <c r="D874" s="5" t="s">
        <v>12</v>
      </c>
      <c r="E874" s="5" t="s">
        <v>919</v>
      </c>
    </row>
    <row r="875" spans="1:5" x14ac:dyDescent="0.25">
      <c r="A875" s="5">
        <f>867</f>
      </c>
      <c r="B875" s="5" t="s">
        <v>920</v>
      </c>
      <c r="C875" s="5" t="s">
        <v>11</v>
      </c>
      <c r="D875" s="5" t="s">
        <v>12</v>
      </c>
      <c r="E875" s="5" t="s">
        <v>921</v>
      </c>
    </row>
    <row r="876" spans="1:5" x14ac:dyDescent="0.25">
      <c r="A876" s="5">
        <f>868</f>
      </c>
      <c r="B876" s="5" t="s">
        <v>922</v>
      </c>
      <c r="C876" s="5" t="s">
        <v>11</v>
      </c>
      <c r="D876" s="5" t="s">
        <v>12</v>
      </c>
      <c r="E876" s="5" t="s">
        <v>921</v>
      </c>
    </row>
    <row r="877" spans="1:5" x14ac:dyDescent="0.25">
      <c r="A877" s="5">
        <f>869</f>
      </c>
      <c r="B877" s="5" t="s">
        <v>923</v>
      </c>
      <c r="C877" s="5" t="s">
        <v>11</v>
      </c>
      <c r="D877" s="5" t="s">
        <v>12</v>
      </c>
      <c r="E877" s="5" t="s">
        <v>924</v>
      </c>
    </row>
    <row r="878" spans="1:5" x14ac:dyDescent="0.25">
      <c r="A878" s="5">
        <f>870</f>
      </c>
      <c r="B878" s="5" t="s">
        <v>925</v>
      </c>
      <c r="C878" s="5" t="s">
        <v>11</v>
      </c>
      <c r="D878" s="5" t="s">
        <v>12</v>
      </c>
      <c r="E878" s="5" t="s">
        <v>924</v>
      </c>
    </row>
    <row r="879" spans="1:5" x14ac:dyDescent="0.25">
      <c r="A879" s="5">
        <f>871</f>
      </c>
      <c r="B879" s="5" t="s">
        <v>926</v>
      </c>
      <c r="C879" s="5" t="s">
        <v>11</v>
      </c>
      <c r="D879" s="5" t="s">
        <v>12</v>
      </c>
      <c r="E879" s="5" t="s">
        <v>927</v>
      </c>
    </row>
    <row r="880" spans="1:5" x14ac:dyDescent="0.25">
      <c r="A880" s="5">
        <f>872</f>
      </c>
      <c r="B880" s="5" t="s">
        <v>928</v>
      </c>
      <c r="C880" s="5" t="s">
        <v>11</v>
      </c>
      <c r="D880" s="5" t="s">
        <v>12</v>
      </c>
      <c r="E880" s="5" t="s">
        <v>927</v>
      </c>
    </row>
    <row r="881" spans="1:5" x14ac:dyDescent="0.25">
      <c r="A881" s="5">
        <f>873</f>
      </c>
      <c r="B881" s="5" t="s">
        <v>929</v>
      </c>
      <c r="C881" s="5" t="s">
        <v>11</v>
      </c>
      <c r="D881" s="5" t="s">
        <v>12</v>
      </c>
      <c r="E881" s="5" t="s">
        <v>930</v>
      </c>
    </row>
    <row r="882" spans="1:5" x14ac:dyDescent="0.25">
      <c r="A882" s="5">
        <f>874</f>
      </c>
      <c r="B882" s="5" t="s">
        <v>931</v>
      </c>
      <c r="C882" s="5" t="s">
        <v>11</v>
      </c>
      <c r="D882" s="5" t="s">
        <v>12</v>
      </c>
      <c r="E882" s="5" t="s">
        <v>932</v>
      </c>
    </row>
    <row r="883" spans="1:5" x14ac:dyDescent="0.25">
      <c r="A883" s="5">
        <f>875</f>
      </c>
      <c r="B883" s="5" t="s">
        <v>933</v>
      </c>
      <c r="C883" s="5" t="s">
        <v>11</v>
      </c>
      <c r="D883" s="5" t="s">
        <v>12</v>
      </c>
      <c r="E883" s="5" t="s">
        <v>932</v>
      </c>
    </row>
    <row r="884" spans="1:5" x14ac:dyDescent="0.25">
      <c r="A884" s="5">
        <f>876</f>
      </c>
      <c r="B884" s="5" t="s">
        <v>934</v>
      </c>
      <c r="C884" s="5" t="s">
        <v>11</v>
      </c>
      <c r="D884" s="5" t="s">
        <v>12</v>
      </c>
      <c r="E884" s="5" t="s">
        <v>935</v>
      </c>
    </row>
    <row r="885" spans="1:5" x14ac:dyDescent="0.25">
      <c r="A885" s="5">
        <f>877</f>
      </c>
      <c r="B885" s="5" t="s">
        <v>936</v>
      </c>
      <c r="C885" s="5" t="s">
        <v>11</v>
      </c>
      <c r="D885" s="5" t="s">
        <v>12</v>
      </c>
      <c r="E885" s="5" t="s">
        <v>935</v>
      </c>
    </row>
    <row r="886" spans="1:5" x14ac:dyDescent="0.25">
      <c r="A886" s="5">
        <f>878</f>
      </c>
      <c r="B886" s="5" t="s">
        <v>937</v>
      </c>
      <c r="C886" s="5" t="s">
        <v>11</v>
      </c>
      <c r="D886" s="5" t="s">
        <v>12</v>
      </c>
      <c r="E886" s="5" t="s">
        <v>938</v>
      </c>
    </row>
    <row r="887" spans="1:5" x14ac:dyDescent="0.25">
      <c r="A887" s="5">
        <f>879</f>
      </c>
      <c r="B887" s="5" t="s">
        <v>939</v>
      </c>
      <c r="C887" s="5" t="s">
        <v>11</v>
      </c>
      <c r="D887" s="5" t="s">
        <v>12</v>
      </c>
      <c r="E887" s="5" t="s">
        <v>938</v>
      </c>
    </row>
    <row r="888" spans="1:5" x14ac:dyDescent="0.25">
      <c r="A888" s="5">
        <f>880</f>
      </c>
      <c r="B888" s="5" t="s">
        <v>940</v>
      </c>
      <c r="C888" s="5" t="s">
        <v>11</v>
      </c>
      <c r="D888" s="5" t="s">
        <v>12</v>
      </c>
      <c r="E888" s="5" t="s">
        <v>941</v>
      </c>
    </row>
    <row r="889" spans="1:5" x14ac:dyDescent="0.25">
      <c r="A889" s="5">
        <f>881</f>
      </c>
      <c r="B889" s="5" t="s">
        <v>942</v>
      </c>
      <c r="C889" s="5" t="s">
        <v>11</v>
      </c>
      <c r="D889" s="5" t="s">
        <v>12</v>
      </c>
      <c r="E889" s="5" t="s">
        <v>941</v>
      </c>
    </row>
    <row r="890" spans="1:5" x14ac:dyDescent="0.25">
      <c r="A890" s="5">
        <f>882</f>
      </c>
      <c r="B890" s="5" t="s">
        <v>943</v>
      </c>
      <c r="C890" s="5" t="s">
        <v>11</v>
      </c>
      <c r="D890" s="5" t="s">
        <v>12</v>
      </c>
      <c r="E890" s="5" t="s">
        <v>941</v>
      </c>
    </row>
    <row r="891" spans="1:5" x14ac:dyDescent="0.25">
      <c r="A891" s="5">
        <f>883</f>
      </c>
      <c r="B891" s="5" t="s">
        <v>944</v>
      </c>
      <c r="C891" s="5" t="s">
        <v>11</v>
      </c>
      <c r="D891" s="5" t="s">
        <v>12</v>
      </c>
      <c r="E891" s="5" t="s">
        <v>945</v>
      </c>
    </row>
    <row r="892" spans="1:5" x14ac:dyDescent="0.25">
      <c r="A892" s="5">
        <f>884</f>
      </c>
      <c r="B892" s="5" t="s">
        <v>946</v>
      </c>
      <c r="C892" s="5" t="s">
        <v>11</v>
      </c>
      <c r="D892" s="5" t="s">
        <v>12</v>
      </c>
      <c r="E892" s="5" t="s">
        <v>945</v>
      </c>
    </row>
    <row r="893" spans="1:5" x14ac:dyDescent="0.25">
      <c r="A893" s="5">
        <f>885</f>
      </c>
      <c r="B893" s="5" t="s">
        <v>947</v>
      </c>
      <c r="C893" s="5" t="s">
        <v>11</v>
      </c>
      <c r="D893" s="5" t="s">
        <v>12</v>
      </c>
      <c r="E893" s="5" t="s">
        <v>945</v>
      </c>
    </row>
    <row r="894" spans="1:5" x14ac:dyDescent="0.25">
      <c r="A894" s="5">
        <f>886</f>
      </c>
      <c r="B894" s="5" t="s">
        <v>948</v>
      </c>
      <c r="C894" s="5" t="s">
        <v>11</v>
      </c>
      <c r="D894" s="5" t="s">
        <v>12</v>
      </c>
      <c r="E894" s="5" t="s">
        <v>945</v>
      </c>
    </row>
    <row r="895" spans="1:5" x14ac:dyDescent="0.25">
      <c r="A895" s="5">
        <f>887</f>
      </c>
      <c r="B895" s="5" t="s">
        <v>949</v>
      </c>
      <c r="C895" s="5" t="s">
        <v>11</v>
      </c>
      <c r="D895" s="5" t="s">
        <v>12</v>
      </c>
      <c r="E895" s="5" t="s">
        <v>945</v>
      </c>
    </row>
    <row r="896" spans="1:5" x14ac:dyDescent="0.25">
      <c r="A896" s="5">
        <f>888</f>
      </c>
      <c r="B896" s="5" t="s">
        <v>950</v>
      </c>
      <c r="C896" s="5" t="s">
        <v>11</v>
      </c>
      <c r="D896" s="5" t="s">
        <v>12</v>
      </c>
      <c r="E896" s="5" t="s">
        <v>945</v>
      </c>
    </row>
    <row r="897" spans="1:5" x14ac:dyDescent="0.25">
      <c r="A897" s="5">
        <f>889</f>
      </c>
      <c r="B897" s="5" t="s">
        <v>951</v>
      </c>
      <c r="C897" s="5" t="s">
        <v>11</v>
      </c>
      <c r="D897" s="5" t="s">
        <v>12</v>
      </c>
      <c r="E897" s="5" t="s">
        <v>945</v>
      </c>
    </row>
    <row r="898" spans="1:5" x14ac:dyDescent="0.25">
      <c r="A898" s="5">
        <f>890</f>
      </c>
      <c r="B898" s="5" t="s">
        <v>952</v>
      </c>
      <c r="C898" s="5" t="s">
        <v>11</v>
      </c>
      <c r="D898" s="5" t="s">
        <v>12</v>
      </c>
      <c r="E898" s="5" t="s">
        <v>945</v>
      </c>
    </row>
    <row r="899" spans="1:5" x14ac:dyDescent="0.25">
      <c r="A899" s="5">
        <f>891</f>
      </c>
      <c r="B899" s="5" t="s">
        <v>953</v>
      </c>
      <c r="C899" s="5" t="s">
        <v>11</v>
      </c>
      <c r="D899" s="5" t="s">
        <v>12</v>
      </c>
      <c r="E899" s="5" t="s">
        <v>954</v>
      </c>
    </row>
    <row r="900" spans="1:5" x14ac:dyDescent="0.25">
      <c r="A900" s="5">
        <f>892</f>
      </c>
      <c r="B900" s="5" t="s">
        <v>955</v>
      </c>
      <c r="C900" s="5" t="s">
        <v>11</v>
      </c>
      <c r="D900" s="5" t="s">
        <v>12</v>
      </c>
      <c r="E900" s="5" t="s">
        <v>954</v>
      </c>
    </row>
    <row r="901" spans="1:5" x14ac:dyDescent="0.25">
      <c r="A901" s="5">
        <f>893</f>
      </c>
      <c r="B901" s="5" t="s">
        <v>956</v>
      </c>
      <c r="C901" s="5" t="s">
        <v>11</v>
      </c>
      <c r="D901" s="5" t="s">
        <v>12</v>
      </c>
      <c r="E901" s="5" t="s">
        <v>957</v>
      </c>
    </row>
    <row r="902" spans="1:5" x14ac:dyDescent="0.25">
      <c r="A902" s="5">
        <f>894</f>
      </c>
      <c r="B902" s="5" t="s">
        <v>958</v>
      </c>
      <c r="C902" s="5" t="s">
        <v>11</v>
      </c>
      <c r="D902" s="5" t="s">
        <v>12</v>
      </c>
      <c r="E902" s="5" t="s">
        <v>959</v>
      </c>
    </row>
    <row r="903" spans="1:5" x14ac:dyDescent="0.25">
      <c r="A903" s="5">
        <f>895</f>
      </c>
      <c r="B903" s="5" t="s">
        <v>960</v>
      </c>
      <c r="C903" s="5" t="s">
        <v>11</v>
      </c>
      <c r="D903" s="5" t="s">
        <v>12</v>
      </c>
      <c r="E903" s="5" t="s">
        <v>959</v>
      </c>
    </row>
    <row r="904" spans="1:5" x14ac:dyDescent="0.25">
      <c r="A904" s="5">
        <f>896</f>
      </c>
      <c r="B904" s="5" t="s">
        <v>961</v>
      </c>
      <c r="C904" s="5" t="s">
        <v>11</v>
      </c>
      <c r="D904" s="5" t="s">
        <v>12</v>
      </c>
      <c r="E904" s="5" t="s">
        <v>718</v>
      </c>
    </row>
    <row r="905" spans="1:5" x14ac:dyDescent="0.25">
      <c r="A905" s="5">
        <f>897</f>
      </c>
      <c r="B905" s="5" t="s">
        <v>962</v>
      </c>
      <c r="C905" s="5" t="s">
        <v>11</v>
      </c>
      <c r="D905" s="5" t="s">
        <v>12</v>
      </c>
      <c r="E905" s="5" t="s">
        <v>963</v>
      </c>
    </row>
    <row r="906" spans="1:5" x14ac:dyDescent="0.25">
      <c r="A906" s="5">
        <f>898</f>
      </c>
      <c r="B906" s="5" t="s">
        <v>964</v>
      </c>
      <c r="C906" s="5" t="s">
        <v>11</v>
      </c>
      <c r="D906" s="5" t="s">
        <v>12</v>
      </c>
      <c r="E906" s="5" t="s">
        <v>963</v>
      </c>
    </row>
    <row r="907" spans="1:5" x14ac:dyDescent="0.25">
      <c r="A907" s="5">
        <f>899</f>
      </c>
      <c r="B907" s="5" t="s">
        <v>965</v>
      </c>
      <c r="C907" s="5" t="s">
        <v>11</v>
      </c>
      <c r="D907" s="5" t="s">
        <v>12</v>
      </c>
      <c r="E907" s="5" t="s">
        <v>966</v>
      </c>
    </row>
    <row r="908" spans="1:5" x14ac:dyDescent="0.25">
      <c r="A908" s="5">
        <f>900</f>
      </c>
      <c r="B908" s="5" t="s">
        <v>967</v>
      </c>
      <c r="C908" s="5" t="s">
        <v>11</v>
      </c>
      <c r="D908" s="5" t="s">
        <v>12</v>
      </c>
      <c r="E908" s="5" t="s">
        <v>966</v>
      </c>
    </row>
    <row r="909" spans="1:5" x14ac:dyDescent="0.25">
      <c r="A909" s="5">
        <f>901</f>
      </c>
      <c r="B909" s="5" t="s">
        <v>968</v>
      </c>
      <c r="C909" s="5" t="s">
        <v>11</v>
      </c>
      <c r="D909" s="5" t="s">
        <v>12</v>
      </c>
      <c r="E909" s="5" t="s">
        <v>969</v>
      </c>
    </row>
    <row r="910" spans="1:5" x14ac:dyDescent="0.25">
      <c r="A910" s="5">
        <f>902</f>
      </c>
      <c r="B910" s="5" t="s">
        <v>970</v>
      </c>
      <c r="C910" s="5" t="s">
        <v>11</v>
      </c>
      <c r="D910" s="5" t="s">
        <v>12</v>
      </c>
      <c r="E910" s="5" t="s">
        <v>969</v>
      </c>
    </row>
    <row r="911" spans="1:5" x14ac:dyDescent="0.25">
      <c r="A911" s="5">
        <f>903</f>
      </c>
      <c r="B911" s="5" t="s">
        <v>971</v>
      </c>
      <c r="C911" s="5" t="s">
        <v>11</v>
      </c>
      <c r="D911" s="5" t="s">
        <v>12</v>
      </c>
      <c r="E911" s="5" t="s">
        <v>972</v>
      </c>
    </row>
    <row r="912" spans="1:5" x14ac:dyDescent="0.25">
      <c r="A912" s="5">
        <f>904</f>
      </c>
      <c r="B912" s="5" t="s">
        <v>973</v>
      </c>
      <c r="C912" s="5" t="s">
        <v>11</v>
      </c>
      <c r="D912" s="5" t="s">
        <v>12</v>
      </c>
      <c r="E912" s="5" t="s">
        <v>972</v>
      </c>
    </row>
    <row r="913" spans="1:5" x14ac:dyDescent="0.25">
      <c r="A913" s="5">
        <f>905</f>
      </c>
      <c r="B913" s="5" t="s">
        <v>974</v>
      </c>
      <c r="C913" s="5" t="s">
        <v>11</v>
      </c>
      <c r="D913" s="5" t="s">
        <v>12</v>
      </c>
      <c r="E913" s="5" t="s">
        <v>975</v>
      </c>
    </row>
    <row r="914" spans="1:5" x14ac:dyDescent="0.25">
      <c r="A914" s="5">
        <f>906</f>
      </c>
      <c r="B914" s="5" t="s">
        <v>976</v>
      </c>
      <c r="C914" s="5" t="s">
        <v>11</v>
      </c>
      <c r="D914" s="5" t="s">
        <v>12</v>
      </c>
      <c r="E914" s="5" t="s">
        <v>975</v>
      </c>
    </row>
    <row r="915" spans="1:5" x14ac:dyDescent="0.25">
      <c r="A915" s="5">
        <f>907</f>
      </c>
      <c r="B915" s="5" t="s">
        <v>977</v>
      </c>
      <c r="C915" s="5" t="s">
        <v>11</v>
      </c>
      <c r="D915" s="5" t="s">
        <v>12</v>
      </c>
      <c r="E915" s="5" t="s">
        <v>945</v>
      </c>
    </row>
    <row r="916" spans="1:5" x14ac:dyDescent="0.25">
      <c r="A916" s="5">
        <f>908</f>
      </c>
      <c r="B916" s="5" t="s">
        <v>978</v>
      </c>
      <c r="C916" s="5" t="s">
        <v>11</v>
      </c>
      <c r="D916" s="5" t="s">
        <v>12</v>
      </c>
      <c r="E916" s="5" t="s">
        <v>945</v>
      </c>
    </row>
    <row r="917" spans="1:5" x14ac:dyDescent="0.25">
      <c r="A917" s="5">
        <f>909</f>
      </c>
      <c r="B917" s="5" t="s">
        <v>979</v>
      </c>
      <c r="C917" s="5" t="s">
        <v>11</v>
      </c>
      <c r="D917" s="5" t="s">
        <v>12</v>
      </c>
      <c r="E917" s="5" t="s">
        <v>945</v>
      </c>
    </row>
    <row r="918" spans="1:5" x14ac:dyDescent="0.25">
      <c r="A918" s="5">
        <f>910</f>
      </c>
      <c r="B918" s="5" t="s">
        <v>980</v>
      </c>
      <c r="C918" s="5" t="s">
        <v>11</v>
      </c>
      <c r="D918" s="5" t="s">
        <v>12</v>
      </c>
      <c r="E918" s="5" t="s">
        <v>945</v>
      </c>
    </row>
    <row r="919" spans="1:5" x14ac:dyDescent="0.25">
      <c r="A919" s="5">
        <f>911</f>
      </c>
      <c r="B919" s="5" t="s">
        <v>981</v>
      </c>
      <c r="C919" s="5" t="s">
        <v>11</v>
      </c>
      <c r="D919" s="5" t="s">
        <v>12</v>
      </c>
      <c r="E919" s="5" t="s">
        <v>945</v>
      </c>
    </row>
    <row r="920" spans="1:5" x14ac:dyDescent="0.25">
      <c r="A920" s="5">
        <f>912</f>
      </c>
      <c r="B920" s="5" t="s">
        <v>982</v>
      </c>
      <c r="C920" s="5" t="s">
        <v>11</v>
      </c>
      <c r="D920" s="5" t="s">
        <v>12</v>
      </c>
      <c r="E920" s="5" t="s">
        <v>945</v>
      </c>
    </row>
    <row r="921" spans="1:5" x14ac:dyDescent="0.25">
      <c r="A921" s="5">
        <f>913</f>
      </c>
      <c r="B921" s="5" t="s">
        <v>983</v>
      </c>
      <c r="C921" s="5" t="s">
        <v>11</v>
      </c>
      <c r="D921" s="5" t="s">
        <v>12</v>
      </c>
      <c r="E921" s="5" t="s">
        <v>945</v>
      </c>
    </row>
    <row r="922" spans="1:5" x14ac:dyDescent="0.25">
      <c r="A922" s="5">
        <f>914</f>
      </c>
      <c r="B922" s="5" t="s">
        <v>984</v>
      </c>
      <c r="C922" s="5" t="s">
        <v>11</v>
      </c>
      <c r="D922" s="5" t="s">
        <v>12</v>
      </c>
      <c r="E922" s="5" t="s">
        <v>945</v>
      </c>
    </row>
    <row r="923" spans="1:5" x14ac:dyDescent="0.25">
      <c r="A923" s="5">
        <f>915</f>
      </c>
      <c r="B923" s="5" t="s">
        <v>985</v>
      </c>
      <c r="C923" s="5" t="s">
        <v>11</v>
      </c>
      <c r="D923" s="5" t="s">
        <v>12</v>
      </c>
      <c r="E923" s="5" t="s">
        <v>945</v>
      </c>
    </row>
    <row r="924" spans="1:5" x14ac:dyDescent="0.25">
      <c r="A924" s="5">
        <f>916</f>
      </c>
      <c r="B924" s="5" t="s">
        <v>986</v>
      </c>
      <c r="C924" s="5" t="s">
        <v>11</v>
      </c>
      <c r="D924" s="5" t="s">
        <v>12</v>
      </c>
      <c r="E924" s="5" t="s">
        <v>945</v>
      </c>
    </row>
    <row r="925" spans="1:5" x14ac:dyDescent="0.25">
      <c r="A925" s="5">
        <f>917</f>
      </c>
      <c r="B925" s="5" t="s">
        <v>987</v>
      </c>
      <c r="C925" s="5" t="s">
        <v>11</v>
      </c>
      <c r="D925" s="5" t="s">
        <v>12</v>
      </c>
      <c r="E925" s="5" t="s">
        <v>954</v>
      </c>
    </row>
    <row r="926" spans="1:5" x14ac:dyDescent="0.25">
      <c r="A926" s="5">
        <f>918</f>
      </c>
      <c r="B926" s="5" t="s">
        <v>988</v>
      </c>
      <c r="C926" s="5" t="s">
        <v>11</v>
      </c>
      <c r="D926" s="5" t="s">
        <v>12</v>
      </c>
      <c r="E926" s="5" t="s">
        <v>954</v>
      </c>
    </row>
    <row r="927" spans="1:5" x14ac:dyDescent="0.25">
      <c r="A927" s="5">
        <f>919</f>
      </c>
      <c r="B927" s="5" t="s">
        <v>989</v>
      </c>
      <c r="C927" s="5" t="s">
        <v>11</v>
      </c>
      <c r="D927" s="5" t="s">
        <v>12</v>
      </c>
      <c r="E927" s="5" t="s">
        <v>990</v>
      </c>
    </row>
    <row r="928" spans="1:5" x14ac:dyDescent="0.25">
      <c r="A928" s="5">
        <f>920</f>
      </c>
      <c r="B928" s="5" t="s">
        <v>991</v>
      </c>
      <c r="C928" s="5" t="s">
        <v>11</v>
      </c>
      <c r="D928" s="5" t="s">
        <v>12</v>
      </c>
      <c r="E928" s="5" t="s">
        <v>990</v>
      </c>
    </row>
    <row r="929" spans="1:5" x14ac:dyDescent="0.25">
      <c r="A929" s="5">
        <f>921</f>
      </c>
      <c r="B929" s="5" t="s">
        <v>992</v>
      </c>
      <c r="C929" s="5" t="s">
        <v>11</v>
      </c>
      <c r="D929" s="5" t="s">
        <v>12</v>
      </c>
      <c r="E929" s="5" t="s">
        <v>993</v>
      </c>
    </row>
    <row r="930" spans="1:5" x14ac:dyDescent="0.25">
      <c r="A930" s="5">
        <f>922</f>
      </c>
      <c r="B930" s="5" t="s">
        <v>994</v>
      </c>
      <c r="C930" s="5" t="s">
        <v>11</v>
      </c>
      <c r="D930" s="5" t="s">
        <v>12</v>
      </c>
      <c r="E930" s="5" t="s">
        <v>993</v>
      </c>
    </row>
    <row r="931" spans="1:5" x14ac:dyDescent="0.25">
      <c r="A931" s="5">
        <f>923</f>
      </c>
      <c r="B931" s="5" t="s">
        <v>995</v>
      </c>
      <c r="C931" s="5" t="s">
        <v>11</v>
      </c>
      <c r="D931" s="5" t="s">
        <v>12</v>
      </c>
      <c r="E931" s="5" t="s">
        <v>996</v>
      </c>
    </row>
    <row r="932" spans="1:5" x14ac:dyDescent="0.25">
      <c r="A932" s="5">
        <f>924</f>
      </c>
      <c r="B932" s="5" t="s">
        <v>997</v>
      </c>
      <c r="C932" s="5" t="s">
        <v>11</v>
      </c>
      <c r="D932" s="5" t="s">
        <v>12</v>
      </c>
      <c r="E932" s="5" t="s">
        <v>996</v>
      </c>
    </row>
    <row r="933" spans="1:5" x14ac:dyDescent="0.25">
      <c r="A933" s="5">
        <f>925</f>
      </c>
      <c r="B933" s="5" t="s">
        <v>998</v>
      </c>
      <c r="C933" s="5" t="s">
        <v>11</v>
      </c>
      <c r="D933" s="5" t="s">
        <v>12</v>
      </c>
      <c r="E933" s="5" t="s">
        <v>999</v>
      </c>
    </row>
    <row r="934" spans="1:5" x14ac:dyDescent="0.25">
      <c r="A934" s="5">
        <f>926</f>
      </c>
      <c r="B934" s="5" t="s">
        <v>1000</v>
      </c>
      <c r="C934" s="5" t="s">
        <v>11</v>
      </c>
      <c r="D934" s="5" t="s">
        <v>12</v>
      </c>
      <c r="E934" s="5" t="s">
        <v>999</v>
      </c>
    </row>
    <row r="935" spans="1:5" x14ac:dyDescent="0.25">
      <c r="A935" s="5">
        <f>927</f>
      </c>
      <c r="B935" s="5" t="s">
        <v>1001</v>
      </c>
      <c r="C935" s="5" t="s">
        <v>11</v>
      </c>
      <c r="D935" s="5" t="s">
        <v>12</v>
      </c>
      <c r="E935" s="5" t="s">
        <v>1002</v>
      </c>
    </row>
    <row r="936" spans="1:5" x14ac:dyDescent="0.25">
      <c r="A936" s="5">
        <f>928</f>
      </c>
      <c r="B936" s="5" t="s">
        <v>1003</v>
      </c>
      <c r="C936" s="5" t="s">
        <v>11</v>
      </c>
      <c r="D936" s="5" t="s">
        <v>12</v>
      </c>
      <c r="E936" s="5" t="s">
        <v>1002</v>
      </c>
    </row>
    <row r="937" spans="1:5" x14ac:dyDescent="0.25">
      <c r="A937" s="5">
        <f>929</f>
      </c>
      <c r="B937" s="5" t="s">
        <v>1004</v>
      </c>
      <c r="C937" s="5" t="s">
        <v>11</v>
      </c>
      <c r="D937" s="5" t="s">
        <v>12</v>
      </c>
      <c r="E937" s="5" t="s">
        <v>1002</v>
      </c>
    </row>
    <row r="938" spans="1:5" x14ac:dyDescent="0.25">
      <c r="A938" s="5">
        <f>930</f>
      </c>
      <c r="B938" s="5" t="s">
        <v>1005</v>
      </c>
      <c r="C938" s="5" t="s">
        <v>11</v>
      </c>
      <c r="D938" s="5" t="s">
        <v>12</v>
      </c>
      <c r="E938" s="5" t="s">
        <v>1002</v>
      </c>
    </row>
    <row r="939" spans="1:5" x14ac:dyDescent="0.25">
      <c r="A939" s="5">
        <f>931</f>
      </c>
      <c r="B939" s="5" t="s">
        <v>1006</v>
      </c>
      <c r="C939" s="5" t="s">
        <v>11</v>
      </c>
      <c r="D939" s="5" t="s">
        <v>12</v>
      </c>
      <c r="E939" s="5" t="s">
        <v>1002</v>
      </c>
    </row>
    <row r="940" spans="1:5" x14ac:dyDescent="0.25">
      <c r="A940" s="5">
        <f>932</f>
      </c>
      <c r="B940" s="5" t="s">
        <v>1007</v>
      </c>
      <c r="C940" s="5" t="s">
        <v>11</v>
      </c>
      <c r="D940" s="5" t="s">
        <v>12</v>
      </c>
      <c r="E940" s="5" t="s">
        <v>1002</v>
      </c>
    </row>
    <row r="941" spans="1:5" x14ac:dyDescent="0.25">
      <c r="A941" s="5">
        <f>933</f>
      </c>
      <c r="B941" s="5" t="s">
        <v>1008</v>
      </c>
      <c r="C941" s="5" t="s">
        <v>11</v>
      </c>
      <c r="D941" s="5" t="s">
        <v>12</v>
      </c>
      <c r="E941" s="5" t="s">
        <v>1002</v>
      </c>
    </row>
    <row r="942" spans="1:5" x14ac:dyDescent="0.25">
      <c r="A942" s="5">
        <f>934</f>
      </c>
      <c r="B942" s="5" t="s">
        <v>1009</v>
      </c>
      <c r="C942" s="5" t="s">
        <v>11</v>
      </c>
      <c r="D942" s="5" t="s">
        <v>12</v>
      </c>
      <c r="E942" s="5" t="s">
        <v>1002</v>
      </c>
    </row>
    <row r="943" spans="1:5" x14ac:dyDescent="0.25">
      <c r="A943" s="5">
        <f>935</f>
      </c>
      <c r="B943" s="5" t="s">
        <v>1010</v>
      </c>
      <c r="C943" s="5" t="s">
        <v>11</v>
      </c>
      <c r="D943" s="5" t="s">
        <v>12</v>
      </c>
      <c r="E943" s="5" t="s">
        <v>1002</v>
      </c>
    </row>
    <row r="944" spans="1:5" x14ac:dyDescent="0.25">
      <c r="A944" s="5">
        <f>936</f>
      </c>
      <c r="B944" s="5" t="s">
        <v>1011</v>
      </c>
      <c r="C944" s="5" t="s">
        <v>11</v>
      </c>
      <c r="D944" s="5" t="s">
        <v>12</v>
      </c>
      <c r="E944" s="5" t="s">
        <v>1002</v>
      </c>
    </row>
    <row r="945" spans="1:5" x14ac:dyDescent="0.25">
      <c r="A945" s="5">
        <f>937</f>
      </c>
      <c r="B945" s="5" t="s">
        <v>1012</v>
      </c>
      <c r="C945" s="5" t="s">
        <v>11</v>
      </c>
      <c r="D945" s="5" t="s">
        <v>12</v>
      </c>
      <c r="E945" s="5" t="s">
        <v>1002</v>
      </c>
    </row>
    <row r="946" spans="1:5" x14ac:dyDescent="0.25">
      <c r="A946" s="5">
        <f>938</f>
      </c>
      <c r="B946" s="5" t="s">
        <v>1013</v>
      </c>
      <c r="C946" s="5" t="s">
        <v>11</v>
      </c>
      <c r="D946" s="5" t="s">
        <v>12</v>
      </c>
      <c r="E946" s="5" t="s">
        <v>1002</v>
      </c>
    </row>
    <row r="947" spans="1:5" x14ac:dyDescent="0.25">
      <c r="A947" s="5">
        <f>939</f>
      </c>
      <c r="B947" s="5" t="s">
        <v>1014</v>
      </c>
      <c r="C947" s="5" t="s">
        <v>11</v>
      </c>
      <c r="D947" s="5" t="s">
        <v>12</v>
      </c>
      <c r="E947" s="5" t="s">
        <v>1002</v>
      </c>
    </row>
    <row r="948" spans="1:5" x14ac:dyDescent="0.25">
      <c r="A948" s="5">
        <f>940</f>
      </c>
      <c r="B948" s="5" t="s">
        <v>1015</v>
      </c>
      <c r="C948" s="5" t="s">
        <v>11</v>
      </c>
      <c r="D948" s="5" t="s">
        <v>12</v>
      </c>
      <c r="E948" s="5" t="s">
        <v>1002</v>
      </c>
    </row>
    <row r="949" spans="1:5" x14ac:dyDescent="0.25">
      <c r="A949" s="5">
        <f>941</f>
      </c>
      <c r="B949" s="5" t="s">
        <v>1016</v>
      </c>
      <c r="C949" s="5" t="s">
        <v>11</v>
      </c>
      <c r="D949" s="5" t="s">
        <v>12</v>
      </c>
      <c r="E949" s="5" t="s">
        <v>1002</v>
      </c>
    </row>
    <row r="950" spans="1:5" x14ac:dyDescent="0.25">
      <c r="A950" s="5">
        <f>942</f>
      </c>
      <c r="B950" s="5" t="s">
        <v>1017</v>
      </c>
      <c r="C950" s="5" t="s">
        <v>11</v>
      </c>
      <c r="D950" s="5" t="s">
        <v>12</v>
      </c>
      <c r="E950" s="5" t="s">
        <v>1002</v>
      </c>
    </row>
    <row r="951" spans="1:5" x14ac:dyDescent="0.25">
      <c r="A951" s="5">
        <f>943</f>
      </c>
      <c r="B951" s="5" t="s">
        <v>1018</v>
      </c>
      <c r="C951" s="5" t="s">
        <v>11</v>
      </c>
      <c r="D951" s="5" t="s">
        <v>12</v>
      </c>
      <c r="E951" s="5" t="s">
        <v>1002</v>
      </c>
    </row>
    <row r="952" spans="1:5" x14ac:dyDescent="0.25">
      <c r="A952" s="5">
        <f>944</f>
      </c>
      <c r="B952" s="5" t="s">
        <v>1019</v>
      </c>
      <c r="C952" s="5" t="s">
        <v>11</v>
      </c>
      <c r="D952" s="5" t="s">
        <v>12</v>
      </c>
      <c r="E952" s="5" t="s">
        <v>1020</v>
      </c>
    </row>
    <row r="953" spans="1:5" x14ac:dyDescent="0.25">
      <c r="A953" s="5">
        <f>945</f>
      </c>
      <c r="B953" s="5" t="s">
        <v>1021</v>
      </c>
      <c r="C953" s="5" t="s">
        <v>11</v>
      </c>
      <c r="D953" s="5" t="s">
        <v>12</v>
      </c>
      <c r="E953" s="5" t="s">
        <v>1022</v>
      </c>
    </row>
    <row r="954" spans="1:5" x14ac:dyDescent="0.25">
      <c r="A954" s="5">
        <f>946</f>
      </c>
      <c r="B954" s="5" t="s">
        <v>1023</v>
      </c>
      <c r="C954" s="5" t="s">
        <v>11</v>
      </c>
      <c r="D954" s="5" t="s">
        <v>12</v>
      </c>
      <c r="E954" s="5" t="s">
        <v>1022</v>
      </c>
    </row>
    <row r="955" spans="1:5" x14ac:dyDescent="0.25">
      <c r="A955" s="5">
        <f>947</f>
      </c>
      <c r="B955" s="5" t="s">
        <v>1024</v>
      </c>
      <c r="C955" s="5" t="s">
        <v>11</v>
      </c>
      <c r="D955" s="5" t="s">
        <v>12</v>
      </c>
      <c r="E955" s="5" t="s">
        <v>1025</v>
      </c>
    </row>
    <row r="956" spans="1:5" x14ac:dyDescent="0.25">
      <c r="A956" s="5">
        <f>948</f>
      </c>
      <c r="B956" s="5" t="s">
        <v>1026</v>
      </c>
      <c r="C956" s="5" t="s">
        <v>11</v>
      </c>
      <c r="D956" s="5" t="s">
        <v>12</v>
      </c>
      <c r="E956" s="5" t="s">
        <v>787</v>
      </c>
    </row>
    <row r="957" spans="1:5" x14ac:dyDescent="0.25">
      <c r="A957" s="5">
        <f>949</f>
      </c>
      <c r="B957" s="5" t="s">
        <v>1027</v>
      </c>
      <c r="C957" s="5" t="s">
        <v>11</v>
      </c>
      <c r="D957" s="5" t="s">
        <v>12</v>
      </c>
      <c r="E957" s="5" t="s">
        <v>1028</v>
      </c>
    </row>
    <row r="958" spans="1:5" x14ac:dyDescent="0.25">
      <c r="A958" s="5">
        <f>950</f>
      </c>
      <c r="B958" s="5" t="s">
        <v>1029</v>
      </c>
      <c r="C958" s="5" t="s">
        <v>11</v>
      </c>
      <c r="D958" s="5" t="s">
        <v>12</v>
      </c>
      <c r="E958" s="5" t="s">
        <v>1030</v>
      </c>
    </row>
    <row r="959" spans="1:5" x14ac:dyDescent="0.25">
      <c r="A959" s="5">
        <f>951</f>
      </c>
      <c r="B959" s="5" t="s">
        <v>1031</v>
      </c>
      <c r="C959" s="5" t="s">
        <v>11</v>
      </c>
      <c r="D959" s="5" t="s">
        <v>12</v>
      </c>
      <c r="E959" s="5" t="s">
        <v>919</v>
      </c>
    </row>
    <row r="960" spans="1:5" x14ac:dyDescent="0.25">
      <c r="A960" s="5">
        <f>952</f>
      </c>
      <c r="B960" s="5" t="s">
        <v>1032</v>
      </c>
      <c r="C960" s="5" t="s">
        <v>11</v>
      </c>
      <c r="D960" s="5" t="s">
        <v>12</v>
      </c>
      <c r="E960" s="5" t="s">
        <v>919</v>
      </c>
    </row>
    <row r="961" spans="1:5" x14ac:dyDescent="0.25">
      <c r="A961" s="5">
        <f>953</f>
      </c>
      <c r="B961" s="5" t="s">
        <v>1033</v>
      </c>
      <c r="C961" s="5" t="s">
        <v>11</v>
      </c>
      <c r="D961" s="5" t="s">
        <v>12</v>
      </c>
      <c r="E961" s="5" t="s">
        <v>1034</v>
      </c>
    </row>
    <row r="962" spans="1:5" x14ac:dyDescent="0.25">
      <c r="A962" s="5">
        <f>954</f>
      </c>
      <c r="B962" s="5" t="s">
        <v>1035</v>
      </c>
      <c r="C962" s="5" t="s">
        <v>11</v>
      </c>
      <c r="D962" s="5" t="s">
        <v>12</v>
      </c>
      <c r="E962" s="5" t="s">
        <v>1036</v>
      </c>
    </row>
    <row r="963" spans="1:5" x14ac:dyDescent="0.25">
      <c r="A963" s="5">
        <f>955</f>
      </c>
      <c r="B963" s="5" t="s">
        <v>1037</v>
      </c>
      <c r="C963" s="5" t="s">
        <v>11</v>
      </c>
      <c r="D963" s="5" t="s">
        <v>12</v>
      </c>
      <c r="E963" s="5" t="s">
        <v>1036</v>
      </c>
    </row>
    <row r="964" spans="1:5" x14ac:dyDescent="0.25">
      <c r="A964" s="5">
        <f>956</f>
      </c>
      <c r="B964" s="5" t="s">
        <v>1038</v>
      </c>
      <c r="C964" s="5" t="s">
        <v>11</v>
      </c>
      <c r="D964" s="5" t="s">
        <v>12</v>
      </c>
      <c r="E964" s="5" t="s">
        <v>1036</v>
      </c>
    </row>
    <row r="965" spans="1:5" x14ac:dyDescent="0.25">
      <c r="A965" s="5">
        <f>957</f>
      </c>
      <c r="B965" s="5" t="s">
        <v>1039</v>
      </c>
      <c r="C965" s="5" t="s">
        <v>11</v>
      </c>
      <c r="D965" s="5" t="s">
        <v>12</v>
      </c>
      <c r="E965" s="5" t="s">
        <v>1040</v>
      </c>
    </row>
    <row r="966" spans="1:5" x14ac:dyDescent="0.25">
      <c r="A966" s="5">
        <f>958</f>
      </c>
      <c r="B966" s="5" t="s">
        <v>1041</v>
      </c>
      <c r="C966" s="5" t="s">
        <v>11</v>
      </c>
      <c r="D966" s="5" t="s">
        <v>12</v>
      </c>
      <c r="E966" s="5" t="s">
        <v>1042</v>
      </c>
    </row>
    <row r="967" spans="1:5" x14ac:dyDescent="0.25">
      <c r="A967" s="5">
        <f>959</f>
      </c>
      <c r="B967" s="5" t="s">
        <v>1043</v>
      </c>
      <c r="C967" s="5" t="s">
        <v>11</v>
      </c>
      <c r="D967" s="5" t="s">
        <v>12</v>
      </c>
      <c r="E967" s="5" t="s">
        <v>1042</v>
      </c>
    </row>
    <row r="968" spans="1:5" x14ac:dyDescent="0.25">
      <c r="A968" s="5">
        <f>960</f>
      </c>
      <c r="B968" s="5" t="s">
        <v>1044</v>
      </c>
      <c r="C968" s="5" t="s">
        <v>11</v>
      </c>
      <c r="D968" s="5" t="s">
        <v>12</v>
      </c>
      <c r="E968" s="5" t="s">
        <v>1045</v>
      </c>
    </row>
    <row r="969" spans="1:5" x14ac:dyDescent="0.25">
      <c r="A969" s="5">
        <f>961</f>
      </c>
      <c r="B969" s="5" t="s">
        <v>1046</v>
      </c>
      <c r="C969" s="5" t="s">
        <v>11</v>
      </c>
      <c r="D969" s="5" t="s">
        <v>12</v>
      </c>
      <c r="E969" s="5" t="s">
        <v>1045</v>
      </c>
    </row>
    <row r="970" spans="1:5" x14ac:dyDescent="0.25">
      <c r="A970" s="5">
        <f>962</f>
      </c>
      <c r="B970" s="5" t="s">
        <v>1047</v>
      </c>
      <c r="C970" s="5" t="s">
        <v>11</v>
      </c>
      <c r="D970" s="5" t="s">
        <v>12</v>
      </c>
      <c r="E970" s="5" t="s">
        <v>959</v>
      </c>
    </row>
    <row r="971" spans="1:5" x14ac:dyDescent="0.25">
      <c r="A971" s="5">
        <f>963</f>
      </c>
      <c r="B971" s="5" t="s">
        <v>1048</v>
      </c>
      <c r="C971" s="5" t="s">
        <v>11</v>
      </c>
      <c r="D971" s="5" t="s">
        <v>12</v>
      </c>
      <c r="E971" s="5" t="s">
        <v>959</v>
      </c>
    </row>
    <row r="972" spans="1:5" x14ac:dyDescent="0.25">
      <c r="A972" s="5">
        <f>964</f>
      </c>
      <c r="B972" s="5" t="s">
        <v>1049</v>
      </c>
      <c r="C972" s="5" t="s">
        <v>11</v>
      </c>
      <c r="D972" s="5" t="s">
        <v>12</v>
      </c>
      <c r="E972" s="5" t="s">
        <v>959</v>
      </c>
    </row>
    <row r="973" spans="1:5" x14ac:dyDescent="0.25">
      <c r="A973" s="5">
        <f>965</f>
      </c>
      <c r="B973" s="5" t="s">
        <v>1050</v>
      </c>
      <c r="C973" s="5" t="s">
        <v>11</v>
      </c>
      <c r="D973" s="5" t="s">
        <v>12</v>
      </c>
      <c r="E973" s="5" t="s">
        <v>1051</v>
      </c>
    </row>
    <row r="974" spans="1:5" x14ac:dyDescent="0.25">
      <c r="A974" s="5">
        <f>966</f>
      </c>
      <c r="B974" s="5" t="s">
        <v>1052</v>
      </c>
      <c r="C974" s="5" t="s">
        <v>11</v>
      </c>
      <c r="D974" s="5" t="s">
        <v>12</v>
      </c>
      <c r="E974" s="5" t="s">
        <v>1053</v>
      </c>
    </row>
    <row r="975" spans="1:5" x14ac:dyDescent="0.25">
      <c r="A975" s="5">
        <f>967</f>
      </c>
      <c r="B975" s="5" t="s">
        <v>1054</v>
      </c>
      <c r="C975" s="5" t="s">
        <v>11</v>
      </c>
      <c r="D975" s="5" t="s">
        <v>12</v>
      </c>
      <c r="E975" s="5" t="s">
        <v>1053</v>
      </c>
    </row>
    <row r="976" spans="1:5" x14ac:dyDescent="0.25">
      <c r="A976" s="5">
        <f>968</f>
      </c>
      <c r="B976" s="5" t="s">
        <v>1055</v>
      </c>
      <c r="C976" s="5" t="s">
        <v>11</v>
      </c>
      <c r="D976" s="5" t="s">
        <v>12</v>
      </c>
      <c r="E976" s="5" t="s">
        <v>1056</v>
      </c>
    </row>
    <row r="977" spans="1:5" x14ac:dyDescent="0.25">
      <c r="A977" s="5">
        <f>969</f>
      </c>
      <c r="B977" s="5" t="s">
        <v>1057</v>
      </c>
      <c r="C977" s="5" t="s">
        <v>11</v>
      </c>
      <c r="D977" s="5" t="s">
        <v>12</v>
      </c>
      <c r="E977" s="5" t="s">
        <v>762</v>
      </c>
    </row>
    <row r="978" spans="1:5" x14ac:dyDescent="0.25">
      <c r="A978" s="5">
        <f>970</f>
      </c>
      <c r="B978" s="5" t="s">
        <v>1058</v>
      </c>
      <c r="C978" s="5" t="s">
        <v>11</v>
      </c>
      <c r="D978" s="5" t="s">
        <v>12</v>
      </c>
      <c r="E978" s="5" t="s">
        <v>762</v>
      </c>
    </row>
    <row r="979" spans="1:5" x14ac:dyDescent="0.25">
      <c r="A979" s="5">
        <f>971</f>
      </c>
      <c r="B979" s="5" t="s">
        <v>1059</v>
      </c>
      <c r="C979" s="5" t="s">
        <v>11</v>
      </c>
      <c r="D979" s="5" t="s">
        <v>12</v>
      </c>
      <c r="E979" s="5" t="s">
        <v>1060</v>
      </c>
    </row>
    <row r="980" spans="1:5" x14ac:dyDescent="0.25">
      <c r="A980" s="5">
        <f>972</f>
      </c>
      <c r="B980" s="5" t="s">
        <v>1061</v>
      </c>
      <c r="C980" s="5" t="s">
        <v>11</v>
      </c>
      <c r="D980" s="5" t="s">
        <v>12</v>
      </c>
      <c r="E980" s="5" t="s">
        <v>1060</v>
      </c>
    </row>
    <row r="981" spans="1:5" x14ac:dyDescent="0.25">
      <c r="A981" s="5">
        <f>973</f>
      </c>
      <c r="B981" s="5" t="s">
        <v>1062</v>
      </c>
      <c r="C981" s="5" t="s">
        <v>11</v>
      </c>
      <c r="D981" s="5" t="s">
        <v>12</v>
      </c>
      <c r="E981" s="5" t="s">
        <v>999</v>
      </c>
    </row>
    <row r="982" spans="1:5" x14ac:dyDescent="0.25">
      <c r="A982" s="5">
        <f>974</f>
      </c>
      <c r="B982" s="5" t="s">
        <v>1063</v>
      </c>
      <c r="C982" s="5" t="s">
        <v>11</v>
      </c>
      <c r="D982" s="5" t="s">
        <v>12</v>
      </c>
      <c r="E982" s="5" t="s">
        <v>999</v>
      </c>
    </row>
    <row r="983" spans="1:5" x14ac:dyDescent="0.25">
      <c r="A983" s="5">
        <f>975</f>
      </c>
      <c r="B983" s="5" t="s">
        <v>1064</v>
      </c>
      <c r="C983" s="5" t="s">
        <v>11</v>
      </c>
      <c r="D983" s="5" t="s">
        <v>12</v>
      </c>
      <c r="E983" s="5" t="s">
        <v>990</v>
      </c>
    </row>
    <row r="984" spans="1:5" x14ac:dyDescent="0.25">
      <c r="A984" s="5">
        <f>976</f>
      </c>
      <c r="B984" s="5" t="s">
        <v>1065</v>
      </c>
      <c r="C984" s="5" t="s">
        <v>11</v>
      </c>
      <c r="D984" s="5" t="s">
        <v>12</v>
      </c>
      <c r="E984" s="5" t="s">
        <v>990</v>
      </c>
    </row>
    <row r="985" spans="1:5" x14ac:dyDescent="0.25">
      <c r="A985" s="5">
        <f>977</f>
      </c>
      <c r="B985" s="5" t="s">
        <v>1066</v>
      </c>
      <c r="C985" s="5" t="s">
        <v>11</v>
      </c>
      <c r="D985" s="5" t="s">
        <v>12</v>
      </c>
      <c r="E985" s="5" t="s">
        <v>1067</v>
      </c>
    </row>
    <row r="986" spans="1:5" x14ac:dyDescent="0.25">
      <c r="A986" s="5">
        <f>978</f>
      </c>
      <c r="B986" s="5" t="s">
        <v>1068</v>
      </c>
      <c r="C986" s="5" t="s">
        <v>11</v>
      </c>
      <c r="D986" s="5" t="s">
        <v>12</v>
      </c>
      <c r="E986" s="5" t="s">
        <v>1067</v>
      </c>
    </row>
    <row r="987" spans="1:5" x14ac:dyDescent="0.25">
      <c r="A987" s="5">
        <f>979</f>
      </c>
      <c r="B987" s="5" t="s">
        <v>1069</v>
      </c>
      <c r="C987" s="5" t="s">
        <v>11</v>
      </c>
      <c r="D987" s="5" t="s">
        <v>12</v>
      </c>
      <c r="E987" s="5" t="s">
        <v>828</v>
      </c>
    </row>
    <row r="988" spans="1:5" x14ac:dyDescent="0.25">
      <c r="A988" s="5">
        <f>980</f>
      </c>
      <c r="B988" s="5" t="s">
        <v>1070</v>
      </c>
      <c r="C988" s="5" t="s">
        <v>11</v>
      </c>
      <c r="D988" s="5" t="s">
        <v>12</v>
      </c>
      <c r="E988" s="5" t="s">
        <v>828</v>
      </c>
    </row>
    <row r="989" spans="1:5" x14ac:dyDescent="0.25">
      <c r="A989" s="5">
        <f>981</f>
      </c>
      <c r="B989" s="5" t="s">
        <v>1071</v>
      </c>
      <c r="C989" s="5" t="s">
        <v>11</v>
      </c>
      <c r="D989" s="5" t="s">
        <v>12</v>
      </c>
      <c r="E989" s="5" t="s">
        <v>762</v>
      </c>
    </row>
    <row r="990" spans="1:5" x14ac:dyDescent="0.25">
      <c r="A990" s="5">
        <f>982</f>
      </c>
      <c r="B990" s="5" t="s">
        <v>1072</v>
      </c>
      <c r="C990" s="5" t="s">
        <v>11</v>
      </c>
      <c r="D990" s="5" t="s">
        <v>12</v>
      </c>
      <c r="E990" s="5" t="s">
        <v>762</v>
      </c>
    </row>
    <row r="991" spans="1:5" x14ac:dyDescent="0.25">
      <c r="A991" s="5">
        <f>983</f>
      </c>
      <c r="B991" s="5" t="s">
        <v>1073</v>
      </c>
      <c r="C991" s="5" t="s">
        <v>11</v>
      </c>
      <c r="D991" s="5" t="s">
        <v>12</v>
      </c>
      <c r="E991" s="5" t="s">
        <v>1074</v>
      </c>
    </row>
    <row r="992" spans="1:5" x14ac:dyDescent="0.25">
      <c r="A992" s="5">
        <f>984</f>
      </c>
      <c r="B992" s="5" t="s">
        <v>1075</v>
      </c>
      <c r="C992" s="5" t="s">
        <v>11</v>
      </c>
      <c r="D992" s="5" t="s">
        <v>12</v>
      </c>
      <c r="E992" s="5" t="s">
        <v>1074</v>
      </c>
    </row>
    <row r="993" spans="1:5" x14ac:dyDescent="0.25">
      <c r="A993" s="5">
        <f>985</f>
      </c>
      <c r="B993" s="5" t="s">
        <v>1076</v>
      </c>
      <c r="C993" s="5" t="s">
        <v>11</v>
      </c>
      <c r="D993" s="5" t="s">
        <v>12</v>
      </c>
      <c r="E993" s="5" t="s">
        <v>1077</v>
      </c>
    </row>
    <row r="994" spans="1:5" x14ac:dyDescent="0.25">
      <c r="A994" s="5">
        <f>986</f>
      </c>
      <c r="B994" s="5" t="s">
        <v>1078</v>
      </c>
      <c r="C994" s="5" t="s">
        <v>11</v>
      </c>
      <c r="D994" s="5" t="s">
        <v>12</v>
      </c>
      <c r="E994" s="5" t="s">
        <v>732</v>
      </c>
    </row>
    <row r="995" spans="1:5" x14ac:dyDescent="0.25">
      <c r="A995" s="5">
        <f>987</f>
      </c>
      <c r="B995" s="5" t="s">
        <v>1078</v>
      </c>
      <c r="C995" s="5" t="s">
        <v>11</v>
      </c>
      <c r="D995" s="5" t="s">
        <v>12</v>
      </c>
      <c r="E995" s="5" t="s">
        <v>1042</v>
      </c>
    </row>
    <row r="996" spans="1:5" x14ac:dyDescent="0.25">
      <c r="A996" s="5">
        <f>988</f>
      </c>
      <c r="B996" s="5" t="s">
        <v>1079</v>
      </c>
      <c r="C996" s="5" t="s">
        <v>11</v>
      </c>
      <c r="D996" s="5" t="s">
        <v>12</v>
      </c>
      <c r="E996" s="5" t="s">
        <v>963</v>
      </c>
    </row>
    <row r="997" spans="1:5" x14ac:dyDescent="0.25">
      <c r="A997" s="5">
        <f>989</f>
      </c>
      <c r="B997" s="5" t="s">
        <v>1080</v>
      </c>
      <c r="C997" s="5" t="s">
        <v>11</v>
      </c>
      <c r="D997" s="5" t="s">
        <v>12</v>
      </c>
      <c r="E997" s="5" t="s">
        <v>963</v>
      </c>
    </row>
    <row r="998" spans="1:5" x14ac:dyDescent="0.25">
      <c r="A998" s="5">
        <f>990</f>
      </c>
      <c r="B998" s="5" t="s">
        <v>1081</v>
      </c>
      <c r="C998" s="5" t="s">
        <v>11</v>
      </c>
      <c r="D998" s="5" t="s">
        <v>12</v>
      </c>
      <c r="E998" s="5" t="s">
        <v>963</v>
      </c>
    </row>
    <row r="999" spans="1:5" x14ac:dyDescent="0.25">
      <c r="A999" s="5">
        <f>991</f>
      </c>
      <c r="B999" s="5" t="s">
        <v>1082</v>
      </c>
      <c r="C999" s="5" t="s">
        <v>11</v>
      </c>
      <c r="D999" s="5" t="s">
        <v>12</v>
      </c>
      <c r="E999" s="5" t="s">
        <v>963</v>
      </c>
    </row>
    <row r="1000" spans="1:5" x14ac:dyDescent="0.25">
      <c r="A1000" s="5">
        <f>992</f>
      </c>
      <c r="B1000" s="5" t="s">
        <v>1083</v>
      </c>
      <c r="C1000" s="5" t="s">
        <v>11</v>
      </c>
      <c r="D1000" s="5" t="s">
        <v>12</v>
      </c>
      <c r="E1000" s="5" t="s">
        <v>963</v>
      </c>
    </row>
    <row r="1001" spans="1:5" x14ac:dyDescent="0.25">
      <c r="A1001" s="5">
        <f>993</f>
      </c>
      <c r="B1001" s="5" t="s">
        <v>1084</v>
      </c>
      <c r="C1001" s="5" t="s">
        <v>11</v>
      </c>
      <c r="D1001" s="5" t="s">
        <v>12</v>
      </c>
      <c r="E1001" s="5" t="s">
        <v>963</v>
      </c>
    </row>
    <row r="1002" spans="1:5" x14ac:dyDescent="0.25">
      <c r="A1002" s="5">
        <f>994</f>
      </c>
      <c r="B1002" s="5" t="s">
        <v>1085</v>
      </c>
      <c r="C1002" s="5" t="s">
        <v>11</v>
      </c>
      <c r="D1002" s="5" t="s">
        <v>12</v>
      </c>
      <c r="E1002" s="5" t="s">
        <v>963</v>
      </c>
    </row>
    <row r="1003" spans="1:5" x14ac:dyDescent="0.25">
      <c r="A1003" s="5">
        <f>995</f>
      </c>
      <c r="B1003" s="5" t="s">
        <v>1086</v>
      </c>
      <c r="C1003" s="5" t="s">
        <v>11</v>
      </c>
      <c r="D1003" s="5" t="s">
        <v>12</v>
      </c>
      <c r="E1003" s="5" t="s">
        <v>963</v>
      </c>
    </row>
    <row r="1004" spans="1:5" x14ac:dyDescent="0.25">
      <c r="A1004" s="5">
        <f>996</f>
      </c>
      <c r="B1004" s="5" t="s">
        <v>1087</v>
      </c>
      <c r="C1004" s="5" t="s">
        <v>11</v>
      </c>
      <c r="D1004" s="5" t="s">
        <v>12</v>
      </c>
      <c r="E1004" s="5" t="s">
        <v>963</v>
      </c>
    </row>
    <row r="1005" spans="1:5" x14ac:dyDescent="0.25">
      <c r="A1005" s="5">
        <f>997</f>
      </c>
      <c r="B1005" s="5" t="s">
        <v>1088</v>
      </c>
      <c r="C1005" s="5" t="s">
        <v>11</v>
      </c>
      <c r="D1005" s="5" t="s">
        <v>12</v>
      </c>
      <c r="E1005" s="5" t="s">
        <v>963</v>
      </c>
    </row>
    <row r="1006" spans="1:5" x14ac:dyDescent="0.25">
      <c r="A1006" s="5">
        <f>998</f>
      </c>
      <c r="B1006" s="5" t="s">
        <v>1089</v>
      </c>
      <c r="C1006" s="5" t="s">
        <v>11</v>
      </c>
      <c r="D1006" s="5" t="s">
        <v>12</v>
      </c>
      <c r="E1006" s="5" t="s">
        <v>963</v>
      </c>
    </row>
    <row r="1007" spans="1:5" x14ac:dyDescent="0.25">
      <c r="A1007" s="5">
        <f>999</f>
      </c>
      <c r="B1007" s="5" t="s">
        <v>1090</v>
      </c>
      <c r="C1007" s="5" t="s">
        <v>11</v>
      </c>
      <c r="D1007" s="5" t="s">
        <v>12</v>
      </c>
      <c r="E1007" s="5" t="s">
        <v>963</v>
      </c>
    </row>
    <row r="1008" spans="1:5" x14ac:dyDescent="0.25">
      <c r="A1008" s="5">
        <f>1000</f>
      </c>
      <c r="B1008" s="5" t="s">
        <v>1091</v>
      </c>
      <c r="C1008" s="5" t="s">
        <v>11</v>
      </c>
      <c r="D1008" s="5" t="s">
        <v>12</v>
      </c>
      <c r="E1008" s="5" t="s">
        <v>963</v>
      </c>
    </row>
    <row r="1009" spans="1:5" x14ac:dyDescent="0.25">
      <c r="A1009" s="5">
        <f>1001</f>
      </c>
      <c r="B1009" s="5" t="s">
        <v>1092</v>
      </c>
      <c r="C1009" s="5" t="s">
        <v>11</v>
      </c>
      <c r="D1009" s="5" t="s">
        <v>12</v>
      </c>
      <c r="E1009" s="5" t="s">
        <v>963</v>
      </c>
    </row>
    <row r="1010" spans="1:5" x14ac:dyDescent="0.25">
      <c r="A1010" s="5">
        <f>1002</f>
      </c>
      <c r="B1010" s="5" t="s">
        <v>1093</v>
      </c>
      <c r="C1010" s="5" t="s">
        <v>11</v>
      </c>
      <c r="D1010" s="5" t="s">
        <v>12</v>
      </c>
      <c r="E1010" s="5" t="s">
        <v>963</v>
      </c>
    </row>
    <row r="1011" spans="1:5" x14ac:dyDescent="0.25">
      <c r="A1011" s="5">
        <f>1003</f>
      </c>
      <c r="B1011" s="5" t="s">
        <v>1094</v>
      </c>
      <c r="C1011" s="5" t="s">
        <v>11</v>
      </c>
      <c r="D1011" s="5" t="s">
        <v>12</v>
      </c>
      <c r="E1011" s="5" t="s">
        <v>963</v>
      </c>
    </row>
    <row r="1012" spans="1:5" x14ac:dyDescent="0.25">
      <c r="A1012" s="5">
        <f>1004</f>
      </c>
      <c r="B1012" s="5" t="s">
        <v>1095</v>
      </c>
      <c r="C1012" s="5" t="s">
        <v>11</v>
      </c>
      <c r="D1012" s="5" t="s">
        <v>12</v>
      </c>
      <c r="E1012" s="5" t="s">
        <v>963</v>
      </c>
    </row>
    <row r="1013" spans="1:5" x14ac:dyDescent="0.25">
      <c r="A1013" s="5">
        <f>1005</f>
      </c>
      <c r="B1013" s="5" t="s">
        <v>1096</v>
      </c>
      <c r="C1013" s="5" t="s">
        <v>11</v>
      </c>
      <c r="D1013" s="5" t="s">
        <v>12</v>
      </c>
      <c r="E1013" s="5" t="s">
        <v>963</v>
      </c>
    </row>
    <row r="1014" spans="1:5" x14ac:dyDescent="0.25">
      <c r="A1014" s="5">
        <f>1006</f>
      </c>
      <c r="B1014" s="5" t="s">
        <v>1097</v>
      </c>
      <c r="C1014" s="5" t="s">
        <v>11</v>
      </c>
      <c r="D1014" s="5" t="s">
        <v>12</v>
      </c>
      <c r="E1014" s="5" t="s">
        <v>963</v>
      </c>
    </row>
    <row r="1015" spans="1:5" x14ac:dyDescent="0.25">
      <c r="A1015" s="5">
        <f>1007</f>
      </c>
      <c r="B1015" s="5" t="s">
        <v>1098</v>
      </c>
      <c r="C1015" s="5" t="s">
        <v>11</v>
      </c>
      <c r="D1015" s="5" t="s">
        <v>12</v>
      </c>
      <c r="E1015" s="5" t="s">
        <v>963</v>
      </c>
    </row>
    <row r="1016" spans="1:5" x14ac:dyDescent="0.25">
      <c r="A1016" s="5">
        <f>1008</f>
      </c>
      <c r="B1016" s="5" t="s">
        <v>1099</v>
      </c>
      <c r="C1016" s="5" t="s">
        <v>11</v>
      </c>
      <c r="D1016" s="5" t="s">
        <v>12</v>
      </c>
      <c r="E1016" s="5" t="s">
        <v>963</v>
      </c>
    </row>
    <row r="1017" spans="1:5" x14ac:dyDescent="0.25">
      <c r="A1017" s="5">
        <f>1009</f>
      </c>
      <c r="B1017" s="5" t="s">
        <v>1100</v>
      </c>
      <c r="C1017" s="5" t="s">
        <v>11</v>
      </c>
      <c r="D1017" s="5" t="s">
        <v>12</v>
      </c>
      <c r="E1017" s="5" t="s">
        <v>963</v>
      </c>
    </row>
    <row r="1018" spans="1:5" x14ac:dyDescent="0.25">
      <c r="A1018" s="5">
        <f>1010</f>
      </c>
      <c r="B1018" s="5" t="s">
        <v>1101</v>
      </c>
      <c r="C1018" s="5" t="s">
        <v>11</v>
      </c>
      <c r="D1018" s="5" t="s">
        <v>12</v>
      </c>
      <c r="E1018" s="5" t="s">
        <v>963</v>
      </c>
    </row>
    <row r="1019" spans="1:5" x14ac:dyDescent="0.25">
      <c r="A1019" s="5">
        <f>1011</f>
      </c>
      <c r="B1019" s="5" t="s">
        <v>1102</v>
      </c>
      <c r="C1019" s="5" t="s">
        <v>11</v>
      </c>
      <c r="D1019" s="5" t="s">
        <v>12</v>
      </c>
      <c r="E1019" s="5" t="s">
        <v>963</v>
      </c>
    </row>
    <row r="1020" spans="1:5" x14ac:dyDescent="0.25">
      <c r="A1020" s="5">
        <f>1012</f>
      </c>
      <c r="B1020" s="5" t="s">
        <v>1103</v>
      </c>
      <c r="C1020" s="5" t="s">
        <v>11</v>
      </c>
      <c r="D1020" s="5" t="s">
        <v>12</v>
      </c>
      <c r="E1020" s="5" t="s">
        <v>963</v>
      </c>
    </row>
    <row r="1021" spans="1:5" x14ac:dyDescent="0.25">
      <c r="A1021" s="5">
        <f>1013</f>
      </c>
      <c r="B1021" s="5" t="s">
        <v>1104</v>
      </c>
      <c r="C1021" s="5" t="s">
        <v>11</v>
      </c>
      <c r="D1021" s="5" t="s">
        <v>12</v>
      </c>
      <c r="E1021" s="5" t="s">
        <v>963</v>
      </c>
    </row>
    <row r="1022" spans="1:5" x14ac:dyDescent="0.25">
      <c r="A1022" s="5">
        <f>1014</f>
      </c>
      <c r="B1022" s="5" t="s">
        <v>1105</v>
      </c>
      <c r="C1022" s="5" t="s">
        <v>11</v>
      </c>
      <c r="D1022" s="5" t="s">
        <v>12</v>
      </c>
      <c r="E1022" s="5" t="s">
        <v>963</v>
      </c>
    </row>
    <row r="1023" spans="1:5" x14ac:dyDescent="0.25">
      <c r="A1023" s="5">
        <f>1015</f>
      </c>
      <c r="B1023" s="5" t="s">
        <v>1106</v>
      </c>
      <c r="C1023" s="5" t="s">
        <v>11</v>
      </c>
      <c r="D1023" s="5" t="s">
        <v>12</v>
      </c>
      <c r="E1023" s="5" t="s">
        <v>963</v>
      </c>
    </row>
    <row r="1024" spans="1:5" x14ac:dyDescent="0.25">
      <c r="A1024" s="5">
        <f>1016</f>
      </c>
      <c r="B1024" s="5" t="s">
        <v>1107</v>
      </c>
      <c r="C1024" s="5" t="s">
        <v>11</v>
      </c>
      <c r="D1024" s="5" t="s">
        <v>12</v>
      </c>
      <c r="E1024" s="5" t="s">
        <v>963</v>
      </c>
    </row>
    <row r="1025" spans="1:5" x14ac:dyDescent="0.25">
      <c r="A1025" s="5">
        <f>1017</f>
      </c>
      <c r="B1025" s="5" t="s">
        <v>1108</v>
      </c>
      <c r="C1025" s="5" t="s">
        <v>11</v>
      </c>
      <c r="D1025" s="5" t="s">
        <v>12</v>
      </c>
      <c r="E1025" s="5" t="s">
        <v>963</v>
      </c>
    </row>
    <row r="1026" spans="1:5" x14ac:dyDescent="0.25">
      <c r="A1026" s="5">
        <f>1018</f>
      </c>
      <c r="B1026" s="5" t="s">
        <v>1109</v>
      </c>
      <c r="C1026" s="5" t="s">
        <v>11</v>
      </c>
      <c r="D1026" s="5" t="s">
        <v>12</v>
      </c>
      <c r="E1026" s="5" t="s">
        <v>963</v>
      </c>
    </row>
    <row r="1027" spans="1:5" x14ac:dyDescent="0.25">
      <c r="A1027" s="5">
        <f>1019</f>
      </c>
      <c r="B1027" s="5" t="s">
        <v>1110</v>
      </c>
      <c r="C1027" s="5" t="s">
        <v>11</v>
      </c>
      <c r="D1027" s="5" t="s">
        <v>12</v>
      </c>
      <c r="E1027" s="5" t="s">
        <v>963</v>
      </c>
    </row>
    <row r="1028" spans="1:5" x14ac:dyDescent="0.25">
      <c r="A1028" s="5">
        <f>1020</f>
      </c>
      <c r="B1028" s="5" t="s">
        <v>1111</v>
      </c>
      <c r="C1028" s="5" t="s">
        <v>11</v>
      </c>
      <c r="D1028" s="5" t="s">
        <v>12</v>
      </c>
      <c r="E1028" s="5" t="s">
        <v>963</v>
      </c>
    </row>
    <row r="1029" spans="1:5" x14ac:dyDescent="0.25">
      <c r="A1029" s="5">
        <f>1021</f>
      </c>
      <c r="B1029" s="5" t="s">
        <v>1112</v>
      </c>
      <c r="C1029" s="5" t="s">
        <v>11</v>
      </c>
      <c r="D1029" s="5" t="s">
        <v>12</v>
      </c>
      <c r="E1029" s="5" t="s">
        <v>963</v>
      </c>
    </row>
    <row r="1030" spans="1:5" x14ac:dyDescent="0.25">
      <c r="A1030" s="5">
        <f>1022</f>
      </c>
      <c r="B1030" s="5" t="s">
        <v>1113</v>
      </c>
      <c r="C1030" s="5" t="s">
        <v>11</v>
      </c>
      <c r="D1030" s="5" t="s">
        <v>12</v>
      </c>
      <c r="E1030" s="5" t="s">
        <v>963</v>
      </c>
    </row>
    <row r="1031" spans="1:5" x14ac:dyDescent="0.25">
      <c r="A1031" s="5">
        <f>1023</f>
      </c>
      <c r="B1031" s="5" t="s">
        <v>1114</v>
      </c>
      <c r="C1031" s="5" t="s">
        <v>11</v>
      </c>
      <c r="D1031" s="5" t="s">
        <v>12</v>
      </c>
      <c r="E1031" s="5" t="s">
        <v>963</v>
      </c>
    </row>
    <row r="1032" spans="1:5" x14ac:dyDescent="0.25">
      <c r="A1032" s="5">
        <f>1024</f>
      </c>
      <c r="B1032" s="5" t="s">
        <v>1115</v>
      </c>
      <c r="C1032" s="5" t="s">
        <v>11</v>
      </c>
      <c r="D1032" s="5" t="s">
        <v>12</v>
      </c>
      <c r="E1032" s="5" t="s">
        <v>963</v>
      </c>
    </row>
    <row r="1033" spans="1:5" x14ac:dyDescent="0.25">
      <c r="A1033" s="5">
        <f>1025</f>
      </c>
      <c r="B1033" s="5" t="s">
        <v>1116</v>
      </c>
      <c r="C1033" s="5" t="s">
        <v>11</v>
      </c>
      <c r="D1033" s="5" t="s">
        <v>12</v>
      </c>
      <c r="E1033" s="5" t="s">
        <v>963</v>
      </c>
    </row>
    <row r="1034" spans="1:5" x14ac:dyDescent="0.25">
      <c r="A1034" s="5">
        <f>1026</f>
      </c>
      <c r="B1034" s="5" t="s">
        <v>1117</v>
      </c>
      <c r="C1034" s="5" t="s">
        <v>11</v>
      </c>
      <c r="D1034" s="5" t="s">
        <v>12</v>
      </c>
      <c r="E1034" s="5" t="s">
        <v>963</v>
      </c>
    </row>
    <row r="1035" spans="1:5" x14ac:dyDescent="0.25">
      <c r="A1035" s="5">
        <f>1027</f>
      </c>
      <c r="B1035" s="5" t="s">
        <v>1118</v>
      </c>
      <c r="C1035" s="5" t="s">
        <v>11</v>
      </c>
      <c r="D1035" s="5" t="s">
        <v>12</v>
      </c>
      <c r="E1035" s="5" t="s">
        <v>963</v>
      </c>
    </row>
    <row r="1036" spans="1:5" x14ac:dyDescent="0.25">
      <c r="A1036" s="5">
        <f>1028</f>
      </c>
      <c r="B1036" s="5" t="s">
        <v>1119</v>
      </c>
      <c r="C1036" s="5" t="s">
        <v>11</v>
      </c>
      <c r="D1036" s="5" t="s">
        <v>12</v>
      </c>
      <c r="E1036" s="5" t="s">
        <v>963</v>
      </c>
    </row>
    <row r="1037" spans="1:5" x14ac:dyDescent="0.25">
      <c r="A1037" s="5">
        <f>1029</f>
      </c>
      <c r="B1037" s="5" t="s">
        <v>1120</v>
      </c>
      <c r="C1037" s="5" t="s">
        <v>11</v>
      </c>
      <c r="D1037" s="5" t="s">
        <v>12</v>
      </c>
      <c r="E1037" s="5" t="s">
        <v>963</v>
      </c>
    </row>
    <row r="1038" spans="1:5" x14ac:dyDescent="0.25">
      <c r="A1038" s="5">
        <f>1030</f>
      </c>
      <c r="B1038" s="5" t="s">
        <v>1121</v>
      </c>
      <c r="C1038" s="5" t="s">
        <v>11</v>
      </c>
      <c r="D1038" s="5" t="s">
        <v>12</v>
      </c>
      <c r="E1038" s="5" t="s">
        <v>963</v>
      </c>
    </row>
    <row r="1039" spans="1:5" x14ac:dyDescent="0.25">
      <c r="A1039" s="5">
        <f>1031</f>
      </c>
      <c r="B1039" s="5" t="s">
        <v>1122</v>
      </c>
      <c r="C1039" s="5" t="s">
        <v>11</v>
      </c>
      <c r="D1039" s="5" t="s">
        <v>12</v>
      </c>
      <c r="E1039" s="5" t="s">
        <v>963</v>
      </c>
    </row>
    <row r="1040" spans="1:5" x14ac:dyDescent="0.25">
      <c r="A1040" s="5">
        <f>1032</f>
      </c>
      <c r="B1040" s="5" t="s">
        <v>1123</v>
      </c>
      <c r="C1040" s="5" t="s">
        <v>11</v>
      </c>
      <c r="D1040" s="5" t="s">
        <v>12</v>
      </c>
      <c r="E1040" s="5" t="s">
        <v>963</v>
      </c>
    </row>
    <row r="1041" spans="1:5" x14ac:dyDescent="0.25">
      <c r="A1041" s="5">
        <f>1033</f>
      </c>
      <c r="B1041" s="5" t="s">
        <v>1124</v>
      </c>
      <c r="C1041" s="5" t="s">
        <v>11</v>
      </c>
      <c r="D1041" s="5" t="s">
        <v>12</v>
      </c>
      <c r="E1041" s="5" t="s">
        <v>963</v>
      </c>
    </row>
    <row r="1042" spans="1:5" x14ac:dyDescent="0.25">
      <c r="A1042" s="5">
        <f>1034</f>
      </c>
      <c r="B1042" s="5" t="s">
        <v>1125</v>
      </c>
      <c r="C1042" s="5" t="s">
        <v>11</v>
      </c>
      <c r="D1042" s="5" t="s">
        <v>12</v>
      </c>
      <c r="E1042" s="5" t="s">
        <v>963</v>
      </c>
    </row>
    <row r="1043" spans="1:5" x14ac:dyDescent="0.25">
      <c r="A1043" s="5">
        <f>1035</f>
      </c>
      <c r="B1043" s="5" t="s">
        <v>1126</v>
      </c>
      <c r="C1043" s="5" t="s">
        <v>11</v>
      </c>
      <c r="D1043" s="5" t="s">
        <v>12</v>
      </c>
      <c r="E1043" s="5" t="s">
        <v>963</v>
      </c>
    </row>
    <row r="1044" spans="1:5" x14ac:dyDescent="0.25">
      <c r="A1044" s="5">
        <f>1036</f>
      </c>
      <c r="B1044" s="5" t="s">
        <v>1127</v>
      </c>
      <c r="C1044" s="5" t="s">
        <v>11</v>
      </c>
      <c r="D1044" s="5" t="s">
        <v>12</v>
      </c>
      <c r="E1044" s="5" t="s">
        <v>963</v>
      </c>
    </row>
    <row r="1045" spans="1:5" x14ac:dyDescent="0.25">
      <c r="A1045" s="5">
        <f>1037</f>
      </c>
      <c r="B1045" s="5" t="s">
        <v>1128</v>
      </c>
      <c r="C1045" s="5" t="s">
        <v>11</v>
      </c>
      <c r="D1045" s="5" t="s">
        <v>12</v>
      </c>
      <c r="E1045" s="5" t="s">
        <v>963</v>
      </c>
    </row>
    <row r="1046" spans="1:5" x14ac:dyDescent="0.25">
      <c r="A1046" s="5">
        <f>1038</f>
      </c>
      <c r="B1046" s="5" t="s">
        <v>1129</v>
      </c>
      <c r="C1046" s="5" t="s">
        <v>11</v>
      </c>
      <c r="D1046" s="5" t="s">
        <v>12</v>
      </c>
      <c r="E1046" s="5" t="s">
        <v>963</v>
      </c>
    </row>
    <row r="1047" spans="1:5" x14ac:dyDescent="0.25">
      <c r="A1047" s="5">
        <f>1039</f>
      </c>
      <c r="B1047" s="5" t="s">
        <v>1130</v>
      </c>
      <c r="C1047" s="5" t="s">
        <v>11</v>
      </c>
      <c r="D1047" s="5" t="s">
        <v>12</v>
      </c>
      <c r="E1047" s="5" t="s">
        <v>963</v>
      </c>
    </row>
    <row r="1048" spans="1:5" x14ac:dyDescent="0.25">
      <c r="A1048" s="5">
        <f>1040</f>
      </c>
      <c r="B1048" s="5" t="s">
        <v>1131</v>
      </c>
      <c r="C1048" s="5" t="s">
        <v>11</v>
      </c>
      <c r="D1048" s="5" t="s">
        <v>12</v>
      </c>
      <c r="E1048" s="5" t="s">
        <v>963</v>
      </c>
    </row>
    <row r="1049" spans="1:5" x14ac:dyDescent="0.25">
      <c r="A1049" s="5">
        <f>1041</f>
      </c>
      <c r="B1049" s="5" t="s">
        <v>1132</v>
      </c>
      <c r="C1049" s="5" t="s">
        <v>11</v>
      </c>
      <c r="D1049" s="5" t="s">
        <v>12</v>
      </c>
      <c r="E1049" s="5" t="s">
        <v>963</v>
      </c>
    </row>
    <row r="1050" spans="1:5" x14ac:dyDescent="0.25">
      <c r="A1050" s="5">
        <f>1042</f>
      </c>
      <c r="B1050" s="5" t="s">
        <v>1133</v>
      </c>
      <c r="C1050" s="5" t="s">
        <v>11</v>
      </c>
      <c r="D1050" s="5" t="s">
        <v>12</v>
      </c>
      <c r="E1050" s="5" t="s">
        <v>963</v>
      </c>
    </row>
    <row r="1051" spans="1:5" x14ac:dyDescent="0.25">
      <c r="A1051" s="5">
        <f>1043</f>
      </c>
      <c r="B1051" s="5" t="s">
        <v>1134</v>
      </c>
      <c r="C1051" s="5" t="s">
        <v>11</v>
      </c>
      <c r="D1051" s="5" t="s">
        <v>12</v>
      </c>
      <c r="E1051" s="5" t="s">
        <v>963</v>
      </c>
    </row>
    <row r="1052" spans="1:5" x14ac:dyDescent="0.25">
      <c r="A1052" s="5">
        <f>1044</f>
      </c>
      <c r="B1052" s="5" t="s">
        <v>1135</v>
      </c>
      <c r="C1052" s="5" t="s">
        <v>11</v>
      </c>
      <c r="D1052" s="5" t="s">
        <v>12</v>
      </c>
      <c r="E1052" s="5" t="s">
        <v>963</v>
      </c>
    </row>
    <row r="1053" spans="1:5" x14ac:dyDescent="0.25">
      <c r="A1053" s="5">
        <f>1045</f>
      </c>
      <c r="B1053" s="5" t="s">
        <v>1136</v>
      </c>
      <c r="C1053" s="5" t="s">
        <v>11</v>
      </c>
      <c r="D1053" s="5" t="s">
        <v>12</v>
      </c>
      <c r="E1053" s="5" t="s">
        <v>963</v>
      </c>
    </row>
    <row r="1054" spans="1:5" x14ac:dyDescent="0.25">
      <c r="A1054" s="5">
        <f>1046</f>
      </c>
      <c r="B1054" s="5" t="s">
        <v>1137</v>
      </c>
      <c r="C1054" s="5" t="s">
        <v>11</v>
      </c>
      <c r="D1054" s="5" t="s">
        <v>12</v>
      </c>
      <c r="E1054" s="5" t="s">
        <v>963</v>
      </c>
    </row>
    <row r="1055" spans="1:5" x14ac:dyDescent="0.25">
      <c r="A1055" s="5">
        <f>1047</f>
      </c>
      <c r="B1055" s="5" t="s">
        <v>1138</v>
      </c>
      <c r="C1055" s="5" t="s">
        <v>11</v>
      </c>
      <c r="D1055" s="5" t="s">
        <v>12</v>
      </c>
      <c r="E1055" s="5" t="s">
        <v>963</v>
      </c>
    </row>
    <row r="1056" spans="1:5" x14ac:dyDescent="0.25">
      <c r="A1056" s="5">
        <f>1048</f>
      </c>
      <c r="B1056" s="5" t="s">
        <v>1139</v>
      </c>
      <c r="C1056" s="5" t="s">
        <v>11</v>
      </c>
      <c r="D1056" s="5" t="s">
        <v>12</v>
      </c>
      <c r="E1056" s="5" t="s">
        <v>963</v>
      </c>
    </row>
    <row r="1057" spans="1:5" x14ac:dyDescent="0.25">
      <c r="A1057" s="5">
        <f>1049</f>
      </c>
      <c r="B1057" s="5" t="s">
        <v>1140</v>
      </c>
      <c r="C1057" s="5" t="s">
        <v>11</v>
      </c>
      <c r="D1057" s="5" t="s">
        <v>12</v>
      </c>
      <c r="E1057" s="5" t="s">
        <v>963</v>
      </c>
    </row>
    <row r="1058" spans="1:5" x14ac:dyDescent="0.25">
      <c r="A1058" s="5">
        <f>1050</f>
      </c>
      <c r="B1058" s="5" t="s">
        <v>1141</v>
      </c>
      <c r="C1058" s="5" t="s">
        <v>11</v>
      </c>
      <c r="D1058" s="5" t="s">
        <v>12</v>
      </c>
      <c r="E1058" s="5" t="s">
        <v>963</v>
      </c>
    </row>
    <row r="1059" spans="1:5" x14ac:dyDescent="0.25">
      <c r="A1059" s="5">
        <f>1051</f>
      </c>
      <c r="B1059" s="5" t="s">
        <v>1142</v>
      </c>
      <c r="C1059" s="5" t="s">
        <v>11</v>
      </c>
      <c r="D1059" s="5" t="s">
        <v>12</v>
      </c>
      <c r="E1059" s="5" t="s">
        <v>963</v>
      </c>
    </row>
    <row r="1060" spans="1:5" x14ac:dyDescent="0.25">
      <c r="A1060" s="5">
        <f>1052</f>
      </c>
      <c r="B1060" s="5" t="s">
        <v>1143</v>
      </c>
      <c r="C1060" s="5" t="s">
        <v>11</v>
      </c>
      <c r="D1060" s="5" t="s">
        <v>12</v>
      </c>
      <c r="E1060" s="5" t="s">
        <v>963</v>
      </c>
    </row>
    <row r="1061" spans="1:5" x14ac:dyDescent="0.25">
      <c r="A1061" s="5">
        <f>1053</f>
      </c>
      <c r="B1061" s="5" t="s">
        <v>1144</v>
      </c>
      <c r="C1061" s="5" t="s">
        <v>11</v>
      </c>
      <c r="D1061" s="5" t="s">
        <v>12</v>
      </c>
      <c r="E1061" s="5" t="s">
        <v>963</v>
      </c>
    </row>
    <row r="1062" spans="1:5" x14ac:dyDescent="0.25">
      <c r="A1062" s="5">
        <f>1054</f>
      </c>
      <c r="B1062" s="5" t="s">
        <v>1145</v>
      </c>
      <c r="C1062" s="5" t="s">
        <v>11</v>
      </c>
      <c r="D1062" s="5" t="s">
        <v>12</v>
      </c>
      <c r="E1062" s="5" t="s">
        <v>963</v>
      </c>
    </row>
    <row r="1063" spans="1:5" x14ac:dyDescent="0.25">
      <c r="A1063" s="5">
        <f>1055</f>
      </c>
      <c r="B1063" s="5" t="s">
        <v>1146</v>
      </c>
      <c r="C1063" s="5" t="s">
        <v>11</v>
      </c>
      <c r="D1063" s="5" t="s">
        <v>12</v>
      </c>
      <c r="E1063" s="5" t="s">
        <v>963</v>
      </c>
    </row>
    <row r="1064" spans="1:5" x14ac:dyDescent="0.25">
      <c r="A1064" s="5">
        <f>1056</f>
      </c>
      <c r="B1064" s="5" t="s">
        <v>1147</v>
      </c>
      <c r="C1064" s="5" t="s">
        <v>11</v>
      </c>
      <c r="D1064" s="5" t="s">
        <v>12</v>
      </c>
      <c r="E1064" s="5" t="s">
        <v>963</v>
      </c>
    </row>
    <row r="1065" spans="1:5" x14ac:dyDescent="0.25">
      <c r="A1065" s="5">
        <f>1057</f>
      </c>
      <c r="B1065" s="5" t="s">
        <v>1148</v>
      </c>
      <c r="C1065" s="5" t="s">
        <v>11</v>
      </c>
      <c r="D1065" s="5" t="s">
        <v>12</v>
      </c>
      <c r="E1065" s="5" t="s">
        <v>963</v>
      </c>
    </row>
    <row r="1066" spans="1:5" x14ac:dyDescent="0.25">
      <c r="A1066" s="5">
        <f>1058</f>
      </c>
      <c r="B1066" s="5" t="s">
        <v>1149</v>
      </c>
      <c r="C1066" s="5" t="s">
        <v>11</v>
      </c>
      <c r="D1066" s="5" t="s">
        <v>12</v>
      </c>
      <c r="E1066" s="5" t="s">
        <v>963</v>
      </c>
    </row>
    <row r="1067" spans="1:5" x14ac:dyDescent="0.25">
      <c r="A1067" s="5">
        <f>1059</f>
      </c>
      <c r="B1067" s="5" t="s">
        <v>1150</v>
      </c>
      <c r="C1067" s="5" t="s">
        <v>11</v>
      </c>
      <c r="D1067" s="5" t="s">
        <v>12</v>
      </c>
      <c r="E1067" s="5" t="s">
        <v>963</v>
      </c>
    </row>
    <row r="1068" spans="1:5" x14ac:dyDescent="0.25">
      <c r="A1068" s="5">
        <f>1060</f>
      </c>
      <c r="B1068" s="5" t="s">
        <v>1151</v>
      </c>
      <c r="C1068" s="5" t="s">
        <v>11</v>
      </c>
      <c r="D1068" s="5" t="s">
        <v>12</v>
      </c>
      <c r="E1068" s="5" t="s">
        <v>963</v>
      </c>
    </row>
    <row r="1069" spans="1:5" x14ac:dyDescent="0.25">
      <c r="A1069" s="5">
        <f>1061</f>
      </c>
      <c r="B1069" s="5" t="s">
        <v>1152</v>
      </c>
      <c r="C1069" s="5" t="s">
        <v>11</v>
      </c>
      <c r="D1069" s="5" t="s">
        <v>12</v>
      </c>
      <c r="E1069" s="5" t="s">
        <v>963</v>
      </c>
    </row>
    <row r="1070" spans="1:5" x14ac:dyDescent="0.25">
      <c r="A1070" s="5">
        <f>1062</f>
      </c>
      <c r="B1070" s="5" t="s">
        <v>1153</v>
      </c>
      <c r="C1070" s="5" t="s">
        <v>11</v>
      </c>
      <c r="D1070" s="5" t="s">
        <v>12</v>
      </c>
      <c r="E1070" s="5" t="s">
        <v>963</v>
      </c>
    </row>
    <row r="1071" spans="1:5" x14ac:dyDescent="0.25">
      <c r="A1071" s="5">
        <f>1063</f>
      </c>
      <c r="B1071" s="5" t="s">
        <v>1154</v>
      </c>
      <c r="C1071" s="5" t="s">
        <v>11</v>
      </c>
      <c r="D1071" s="5" t="s">
        <v>12</v>
      </c>
      <c r="E1071" s="5" t="s">
        <v>963</v>
      </c>
    </row>
    <row r="1072" spans="1:5" x14ac:dyDescent="0.25">
      <c r="A1072" s="5">
        <f>1064</f>
      </c>
      <c r="B1072" s="5" t="s">
        <v>1155</v>
      </c>
      <c r="C1072" s="5" t="s">
        <v>11</v>
      </c>
      <c r="D1072" s="5" t="s">
        <v>12</v>
      </c>
      <c r="E1072" s="5" t="s">
        <v>963</v>
      </c>
    </row>
    <row r="1073" spans="1:5" x14ac:dyDescent="0.25">
      <c r="A1073" s="5">
        <f>1065</f>
      </c>
      <c r="B1073" s="5" t="s">
        <v>1156</v>
      </c>
      <c r="C1073" s="5" t="s">
        <v>11</v>
      </c>
      <c r="D1073" s="5" t="s">
        <v>12</v>
      </c>
      <c r="E1073" s="5" t="s">
        <v>963</v>
      </c>
    </row>
    <row r="1074" spans="1:5" x14ac:dyDescent="0.25">
      <c r="A1074" s="5">
        <f>1066</f>
      </c>
      <c r="B1074" s="5" t="s">
        <v>1157</v>
      </c>
      <c r="C1074" s="5" t="s">
        <v>11</v>
      </c>
      <c r="D1074" s="5" t="s">
        <v>12</v>
      </c>
      <c r="E1074" s="5" t="s">
        <v>963</v>
      </c>
    </row>
    <row r="1075" spans="1:5" x14ac:dyDescent="0.25">
      <c r="A1075" s="5">
        <f>1067</f>
      </c>
      <c r="B1075" s="5" t="s">
        <v>1158</v>
      </c>
      <c r="C1075" s="5" t="s">
        <v>11</v>
      </c>
      <c r="D1075" s="5" t="s">
        <v>12</v>
      </c>
      <c r="E1075" s="5" t="s">
        <v>963</v>
      </c>
    </row>
    <row r="1076" spans="1:5" x14ac:dyDescent="0.25">
      <c r="A1076" s="5">
        <f>1068</f>
      </c>
      <c r="B1076" s="5" t="s">
        <v>1159</v>
      </c>
      <c r="C1076" s="5" t="s">
        <v>11</v>
      </c>
      <c r="D1076" s="5" t="s">
        <v>12</v>
      </c>
      <c r="E1076" s="5" t="s">
        <v>963</v>
      </c>
    </row>
    <row r="1077" spans="1:5" x14ac:dyDescent="0.25">
      <c r="A1077" s="5">
        <f>1069</f>
      </c>
      <c r="B1077" s="5" t="s">
        <v>1160</v>
      </c>
      <c r="C1077" s="5" t="s">
        <v>11</v>
      </c>
      <c r="D1077" s="5" t="s">
        <v>12</v>
      </c>
      <c r="E1077" s="5" t="s">
        <v>963</v>
      </c>
    </row>
    <row r="1078" spans="1:5" x14ac:dyDescent="0.25">
      <c r="A1078" s="5">
        <f>1070</f>
      </c>
      <c r="B1078" s="5" t="s">
        <v>1161</v>
      </c>
      <c r="C1078" s="5" t="s">
        <v>11</v>
      </c>
      <c r="D1078" s="5" t="s">
        <v>12</v>
      </c>
      <c r="E1078" s="5" t="s">
        <v>963</v>
      </c>
    </row>
    <row r="1079" spans="1:5" x14ac:dyDescent="0.25">
      <c r="A1079" s="5">
        <f>1071</f>
      </c>
      <c r="B1079" s="5" t="s">
        <v>1162</v>
      </c>
      <c r="C1079" s="5" t="s">
        <v>11</v>
      </c>
      <c r="D1079" s="5" t="s">
        <v>12</v>
      </c>
      <c r="E1079" s="5" t="s">
        <v>963</v>
      </c>
    </row>
    <row r="1080" spans="1:5" x14ac:dyDescent="0.25">
      <c r="A1080" s="5">
        <f>1072</f>
      </c>
      <c r="B1080" s="5" t="s">
        <v>1163</v>
      </c>
      <c r="C1080" s="5" t="s">
        <v>11</v>
      </c>
      <c r="D1080" s="5" t="s">
        <v>12</v>
      </c>
      <c r="E1080" s="5" t="s">
        <v>963</v>
      </c>
    </row>
    <row r="1081" spans="1:5" x14ac:dyDescent="0.25">
      <c r="A1081" s="5">
        <f>1073</f>
      </c>
      <c r="B1081" s="5" t="s">
        <v>1164</v>
      </c>
      <c r="C1081" s="5" t="s">
        <v>11</v>
      </c>
      <c r="D1081" s="5" t="s">
        <v>12</v>
      </c>
      <c r="E1081" s="5" t="s">
        <v>963</v>
      </c>
    </row>
    <row r="1082" spans="1:5" x14ac:dyDescent="0.25">
      <c r="A1082" s="5">
        <f>1074</f>
      </c>
      <c r="B1082" s="5" t="s">
        <v>1165</v>
      </c>
      <c r="C1082" s="5" t="s">
        <v>11</v>
      </c>
      <c r="D1082" s="5" t="s">
        <v>12</v>
      </c>
      <c r="E1082" s="5" t="s">
        <v>963</v>
      </c>
    </row>
    <row r="1083" spans="1:5" x14ac:dyDescent="0.25">
      <c r="A1083" s="5">
        <f>1075</f>
      </c>
      <c r="B1083" s="5" t="s">
        <v>1166</v>
      </c>
      <c r="C1083" s="5" t="s">
        <v>11</v>
      </c>
      <c r="D1083" s="5" t="s">
        <v>12</v>
      </c>
      <c r="E1083" s="5" t="s">
        <v>963</v>
      </c>
    </row>
    <row r="1084" spans="1:5" x14ac:dyDescent="0.25">
      <c r="A1084" s="5">
        <f>1076</f>
      </c>
      <c r="B1084" s="5" t="s">
        <v>1167</v>
      </c>
      <c r="C1084" s="5" t="s">
        <v>11</v>
      </c>
      <c r="D1084" s="5" t="s">
        <v>12</v>
      </c>
      <c r="E1084" s="5" t="s">
        <v>963</v>
      </c>
    </row>
    <row r="1085" spans="1:5" x14ac:dyDescent="0.25">
      <c r="A1085" s="5">
        <f>1077</f>
      </c>
      <c r="B1085" s="5" t="s">
        <v>1168</v>
      </c>
      <c r="C1085" s="5" t="s">
        <v>11</v>
      </c>
      <c r="D1085" s="5" t="s">
        <v>12</v>
      </c>
      <c r="E1085" s="5" t="s">
        <v>963</v>
      </c>
    </row>
    <row r="1086" spans="1:5" x14ac:dyDescent="0.25">
      <c r="A1086" s="5">
        <f>1078</f>
      </c>
      <c r="B1086" s="5" t="s">
        <v>1169</v>
      </c>
      <c r="C1086" s="5" t="s">
        <v>11</v>
      </c>
      <c r="D1086" s="5" t="s">
        <v>12</v>
      </c>
      <c r="E1086" s="5" t="s">
        <v>963</v>
      </c>
    </row>
    <row r="1087" spans="1:5" x14ac:dyDescent="0.25">
      <c r="A1087" s="5">
        <f>1079</f>
      </c>
      <c r="B1087" s="5" t="s">
        <v>1170</v>
      </c>
      <c r="C1087" s="5" t="s">
        <v>11</v>
      </c>
      <c r="D1087" s="5" t="s">
        <v>12</v>
      </c>
      <c r="E1087" s="5" t="s">
        <v>963</v>
      </c>
    </row>
    <row r="1088" spans="1:5" x14ac:dyDescent="0.25">
      <c r="A1088" s="5">
        <f>1080</f>
      </c>
      <c r="B1088" s="5" t="s">
        <v>1171</v>
      </c>
      <c r="C1088" s="5" t="s">
        <v>11</v>
      </c>
      <c r="D1088" s="5" t="s">
        <v>12</v>
      </c>
      <c r="E1088" s="5" t="s">
        <v>963</v>
      </c>
    </row>
    <row r="1089" spans="1:5" x14ac:dyDescent="0.25">
      <c r="A1089" s="5">
        <f>1081</f>
      </c>
      <c r="B1089" s="5" t="s">
        <v>1172</v>
      </c>
      <c r="C1089" s="5" t="s">
        <v>11</v>
      </c>
      <c r="D1089" s="5" t="s">
        <v>12</v>
      </c>
      <c r="E1089" s="5" t="s">
        <v>963</v>
      </c>
    </row>
    <row r="1090" spans="1:5" x14ac:dyDescent="0.25">
      <c r="A1090" s="5">
        <f>1082</f>
      </c>
      <c r="B1090" s="5" t="s">
        <v>1173</v>
      </c>
      <c r="C1090" s="5" t="s">
        <v>11</v>
      </c>
      <c r="D1090" s="5" t="s">
        <v>12</v>
      </c>
      <c r="E1090" s="5" t="s">
        <v>963</v>
      </c>
    </row>
    <row r="1091" spans="1:5" x14ac:dyDescent="0.25">
      <c r="A1091" s="5">
        <f>1083</f>
      </c>
      <c r="B1091" s="5" t="s">
        <v>1174</v>
      </c>
      <c r="C1091" s="5" t="s">
        <v>11</v>
      </c>
      <c r="D1091" s="5" t="s">
        <v>12</v>
      </c>
      <c r="E1091" s="5" t="s">
        <v>963</v>
      </c>
    </row>
    <row r="1092" spans="1:5" x14ac:dyDescent="0.25">
      <c r="A1092" s="5">
        <f>1084</f>
      </c>
      <c r="B1092" s="5" t="s">
        <v>1175</v>
      </c>
      <c r="C1092" s="5" t="s">
        <v>11</v>
      </c>
      <c r="D1092" s="5" t="s">
        <v>12</v>
      </c>
      <c r="E1092" s="5" t="s">
        <v>963</v>
      </c>
    </row>
    <row r="1093" spans="1:5" x14ac:dyDescent="0.25">
      <c r="A1093" s="5">
        <f>1085</f>
      </c>
      <c r="B1093" s="5" t="s">
        <v>1176</v>
      </c>
      <c r="C1093" s="5" t="s">
        <v>11</v>
      </c>
      <c r="D1093" s="5" t="s">
        <v>12</v>
      </c>
      <c r="E1093" s="5" t="s">
        <v>963</v>
      </c>
    </row>
    <row r="1094" spans="1:5" x14ac:dyDescent="0.25">
      <c r="A1094" s="5">
        <f>1086</f>
      </c>
      <c r="B1094" s="5" t="s">
        <v>1177</v>
      </c>
      <c r="C1094" s="5" t="s">
        <v>11</v>
      </c>
      <c r="D1094" s="5" t="s">
        <v>12</v>
      </c>
      <c r="E1094" s="5" t="s">
        <v>963</v>
      </c>
    </row>
    <row r="1095" spans="1:5" x14ac:dyDescent="0.25">
      <c r="A1095" s="5">
        <f>1087</f>
      </c>
      <c r="B1095" s="5" t="s">
        <v>1178</v>
      </c>
      <c r="C1095" s="5" t="s">
        <v>11</v>
      </c>
      <c r="D1095" s="5" t="s">
        <v>12</v>
      </c>
      <c r="E1095" s="5" t="s">
        <v>963</v>
      </c>
    </row>
    <row r="1096" spans="1:5" x14ac:dyDescent="0.25">
      <c r="A1096" s="5">
        <f>1088</f>
      </c>
      <c r="B1096" s="5" t="s">
        <v>1179</v>
      </c>
      <c r="C1096" s="5" t="s">
        <v>11</v>
      </c>
      <c r="D1096" s="5" t="s">
        <v>12</v>
      </c>
      <c r="E1096" s="5" t="s">
        <v>963</v>
      </c>
    </row>
    <row r="1097" spans="1:5" x14ac:dyDescent="0.25">
      <c r="A1097" s="5">
        <f>1089</f>
      </c>
      <c r="B1097" s="5" t="s">
        <v>1180</v>
      </c>
      <c r="C1097" s="5" t="s">
        <v>11</v>
      </c>
      <c r="D1097" s="5" t="s">
        <v>12</v>
      </c>
      <c r="E1097" s="5" t="s">
        <v>963</v>
      </c>
    </row>
    <row r="1098" spans="1:5" x14ac:dyDescent="0.25">
      <c r="A1098" s="5">
        <f>1090</f>
      </c>
      <c r="B1098" s="5" t="s">
        <v>1181</v>
      </c>
      <c r="C1098" s="5" t="s">
        <v>11</v>
      </c>
      <c r="D1098" s="5" t="s">
        <v>12</v>
      </c>
      <c r="E1098" s="5" t="s">
        <v>963</v>
      </c>
    </row>
    <row r="1099" spans="1:5" x14ac:dyDescent="0.25">
      <c r="A1099" s="5">
        <f>1091</f>
      </c>
      <c r="B1099" s="5" t="s">
        <v>1182</v>
      </c>
      <c r="C1099" s="5" t="s">
        <v>11</v>
      </c>
      <c r="D1099" s="5" t="s">
        <v>12</v>
      </c>
      <c r="E1099" s="5" t="s">
        <v>963</v>
      </c>
    </row>
    <row r="1100" spans="1:5" x14ac:dyDescent="0.25">
      <c r="A1100" s="5">
        <f>1092</f>
      </c>
      <c r="B1100" s="5" t="s">
        <v>1183</v>
      </c>
      <c r="C1100" s="5" t="s">
        <v>11</v>
      </c>
      <c r="D1100" s="5" t="s">
        <v>12</v>
      </c>
      <c r="E1100" s="5" t="s">
        <v>963</v>
      </c>
    </row>
    <row r="1101" spans="1:5" x14ac:dyDescent="0.25">
      <c r="A1101" s="5">
        <f>1093</f>
      </c>
      <c r="B1101" s="5" t="s">
        <v>1184</v>
      </c>
      <c r="C1101" s="5" t="s">
        <v>11</v>
      </c>
      <c r="D1101" s="5" t="s">
        <v>12</v>
      </c>
      <c r="E1101" s="5" t="s">
        <v>963</v>
      </c>
    </row>
    <row r="1102" spans="1:5" x14ac:dyDescent="0.25">
      <c r="A1102" s="5">
        <f>1094</f>
      </c>
      <c r="B1102" s="5" t="s">
        <v>1185</v>
      </c>
      <c r="C1102" s="5" t="s">
        <v>11</v>
      </c>
      <c r="D1102" s="5" t="s">
        <v>12</v>
      </c>
      <c r="E1102" s="5" t="s">
        <v>963</v>
      </c>
    </row>
    <row r="1103" spans="1:5" x14ac:dyDescent="0.25">
      <c r="A1103" s="5">
        <f>1095</f>
      </c>
      <c r="B1103" s="5" t="s">
        <v>1186</v>
      </c>
      <c r="C1103" s="5" t="s">
        <v>11</v>
      </c>
      <c r="D1103" s="5" t="s">
        <v>12</v>
      </c>
      <c r="E1103" s="5" t="s">
        <v>963</v>
      </c>
    </row>
    <row r="1104" spans="1:5" x14ac:dyDescent="0.25">
      <c r="A1104" s="5">
        <f>1096</f>
      </c>
      <c r="B1104" s="5" t="s">
        <v>1187</v>
      </c>
      <c r="C1104" s="5" t="s">
        <v>11</v>
      </c>
      <c r="D1104" s="5" t="s">
        <v>12</v>
      </c>
      <c r="E1104" s="5" t="s">
        <v>963</v>
      </c>
    </row>
    <row r="1105" spans="1:5" x14ac:dyDescent="0.25">
      <c r="A1105" s="5">
        <f>1097</f>
      </c>
      <c r="B1105" s="5" t="s">
        <v>1188</v>
      </c>
      <c r="C1105" s="5" t="s">
        <v>11</v>
      </c>
      <c r="D1105" s="5" t="s">
        <v>12</v>
      </c>
      <c r="E1105" s="5" t="s">
        <v>963</v>
      </c>
    </row>
    <row r="1106" spans="1:5" x14ac:dyDescent="0.25">
      <c r="A1106" s="5">
        <f>1098</f>
      </c>
      <c r="B1106" s="5" t="s">
        <v>1189</v>
      </c>
      <c r="C1106" s="5" t="s">
        <v>11</v>
      </c>
      <c r="D1106" s="5" t="s">
        <v>12</v>
      </c>
      <c r="E1106" s="5" t="s">
        <v>963</v>
      </c>
    </row>
    <row r="1107" spans="1:5" x14ac:dyDescent="0.25">
      <c r="A1107" s="5">
        <f>1099</f>
      </c>
      <c r="B1107" s="5" t="s">
        <v>1190</v>
      </c>
      <c r="C1107" s="5" t="s">
        <v>11</v>
      </c>
      <c r="D1107" s="5" t="s">
        <v>12</v>
      </c>
      <c r="E1107" s="5" t="s">
        <v>963</v>
      </c>
    </row>
    <row r="1108" spans="1:5" x14ac:dyDescent="0.25">
      <c r="A1108" s="5">
        <f>1100</f>
      </c>
      <c r="B1108" s="5" t="s">
        <v>1191</v>
      </c>
      <c r="C1108" s="5" t="s">
        <v>11</v>
      </c>
      <c r="D1108" s="5" t="s">
        <v>12</v>
      </c>
      <c r="E1108" s="5" t="s">
        <v>963</v>
      </c>
    </row>
    <row r="1109" spans="1:5" x14ac:dyDescent="0.25">
      <c r="A1109" s="5">
        <f>1101</f>
      </c>
      <c r="B1109" s="5" t="s">
        <v>1192</v>
      </c>
      <c r="C1109" s="5" t="s">
        <v>11</v>
      </c>
      <c r="D1109" s="5" t="s">
        <v>12</v>
      </c>
      <c r="E1109" s="5" t="s">
        <v>963</v>
      </c>
    </row>
    <row r="1110" spans="1:5" x14ac:dyDescent="0.25">
      <c r="A1110" s="5">
        <f>1102</f>
      </c>
      <c r="B1110" s="5" t="s">
        <v>1193</v>
      </c>
      <c r="C1110" s="5" t="s">
        <v>11</v>
      </c>
      <c r="D1110" s="5" t="s">
        <v>12</v>
      </c>
      <c r="E1110" s="5" t="s">
        <v>963</v>
      </c>
    </row>
    <row r="1111" spans="1:5" x14ac:dyDescent="0.25">
      <c r="A1111" s="5">
        <f>1103</f>
      </c>
      <c r="B1111" s="5" t="s">
        <v>1194</v>
      </c>
      <c r="C1111" s="5" t="s">
        <v>11</v>
      </c>
      <c r="D1111" s="5" t="s">
        <v>12</v>
      </c>
      <c r="E1111" s="5" t="s">
        <v>963</v>
      </c>
    </row>
    <row r="1112" spans="1:5" x14ac:dyDescent="0.25">
      <c r="A1112" s="5">
        <f>1104</f>
      </c>
      <c r="B1112" s="5" t="s">
        <v>1195</v>
      </c>
      <c r="C1112" s="5" t="s">
        <v>11</v>
      </c>
      <c r="D1112" s="5" t="s">
        <v>12</v>
      </c>
      <c r="E1112" s="5" t="s">
        <v>963</v>
      </c>
    </row>
    <row r="1113" spans="1:5" x14ac:dyDescent="0.25">
      <c r="A1113" s="5">
        <f>1105</f>
      </c>
      <c r="B1113" s="5" t="s">
        <v>1196</v>
      </c>
      <c r="C1113" s="5" t="s">
        <v>11</v>
      </c>
      <c r="D1113" s="5" t="s">
        <v>12</v>
      </c>
      <c r="E1113" s="5" t="s">
        <v>963</v>
      </c>
    </row>
    <row r="1114" spans="1:5" x14ac:dyDescent="0.25">
      <c r="A1114" s="5">
        <f>1106</f>
      </c>
      <c r="B1114" s="5" t="s">
        <v>1197</v>
      </c>
      <c r="C1114" s="5" t="s">
        <v>11</v>
      </c>
      <c r="D1114" s="5" t="s">
        <v>12</v>
      </c>
      <c r="E1114" s="5" t="s">
        <v>963</v>
      </c>
    </row>
    <row r="1115" spans="1:5" x14ac:dyDescent="0.25">
      <c r="A1115" s="5">
        <f>1107</f>
      </c>
      <c r="B1115" s="5" t="s">
        <v>1198</v>
      </c>
      <c r="C1115" s="5" t="s">
        <v>11</v>
      </c>
      <c r="D1115" s="5" t="s">
        <v>12</v>
      </c>
      <c r="E1115" s="5" t="s">
        <v>963</v>
      </c>
    </row>
    <row r="1116" spans="1:5" x14ac:dyDescent="0.25">
      <c r="A1116" s="5">
        <f>1108</f>
      </c>
      <c r="B1116" s="5" t="s">
        <v>1199</v>
      </c>
      <c r="C1116" s="5" t="s">
        <v>11</v>
      </c>
      <c r="D1116" s="5" t="s">
        <v>12</v>
      </c>
      <c r="E1116" s="5" t="s">
        <v>963</v>
      </c>
    </row>
    <row r="1117" spans="1:5" x14ac:dyDescent="0.25">
      <c r="A1117" s="5">
        <f>1109</f>
      </c>
      <c r="B1117" s="5" t="s">
        <v>1200</v>
      </c>
      <c r="C1117" s="5" t="s">
        <v>11</v>
      </c>
      <c r="D1117" s="5" t="s">
        <v>12</v>
      </c>
      <c r="E1117" s="5" t="s">
        <v>963</v>
      </c>
    </row>
    <row r="1118" spans="1:5" x14ac:dyDescent="0.25">
      <c r="A1118" s="5">
        <f>1110</f>
      </c>
      <c r="B1118" s="5" t="s">
        <v>1201</v>
      </c>
      <c r="C1118" s="5" t="s">
        <v>11</v>
      </c>
      <c r="D1118" s="5" t="s">
        <v>12</v>
      </c>
      <c r="E1118" s="5" t="s">
        <v>963</v>
      </c>
    </row>
    <row r="1119" spans="1:5" x14ac:dyDescent="0.25">
      <c r="A1119" s="5">
        <f>1111</f>
      </c>
      <c r="B1119" s="5" t="s">
        <v>1202</v>
      </c>
      <c r="C1119" s="5" t="s">
        <v>11</v>
      </c>
      <c r="D1119" s="5" t="s">
        <v>12</v>
      </c>
      <c r="E1119" s="5" t="s">
        <v>963</v>
      </c>
    </row>
    <row r="1120" spans="1:5" x14ac:dyDescent="0.25">
      <c r="A1120" s="5">
        <f>1112</f>
      </c>
      <c r="B1120" s="5" t="s">
        <v>1203</v>
      </c>
      <c r="C1120" s="5" t="s">
        <v>11</v>
      </c>
      <c r="D1120" s="5" t="s">
        <v>12</v>
      </c>
      <c r="E1120" s="5" t="s">
        <v>963</v>
      </c>
    </row>
    <row r="1121" spans="1:5" x14ac:dyDescent="0.25">
      <c r="A1121" s="5">
        <f>1113</f>
      </c>
      <c r="B1121" s="5" t="s">
        <v>1204</v>
      </c>
      <c r="C1121" s="5" t="s">
        <v>11</v>
      </c>
      <c r="D1121" s="5" t="s">
        <v>12</v>
      </c>
      <c r="E1121" s="5" t="s">
        <v>963</v>
      </c>
    </row>
    <row r="1122" spans="1:5" x14ac:dyDescent="0.25">
      <c r="A1122" s="5">
        <f>1114</f>
      </c>
      <c r="B1122" s="5" t="s">
        <v>1205</v>
      </c>
      <c r="C1122" s="5" t="s">
        <v>11</v>
      </c>
      <c r="D1122" s="5" t="s">
        <v>12</v>
      </c>
      <c r="E1122" s="5" t="s">
        <v>963</v>
      </c>
    </row>
    <row r="1123" spans="1:5" x14ac:dyDescent="0.25">
      <c r="A1123" s="5">
        <f>1115</f>
      </c>
      <c r="B1123" s="5" t="s">
        <v>1206</v>
      </c>
      <c r="C1123" s="5" t="s">
        <v>11</v>
      </c>
      <c r="D1123" s="5" t="s">
        <v>12</v>
      </c>
      <c r="E1123" s="5" t="s">
        <v>963</v>
      </c>
    </row>
    <row r="1124" spans="1:5" x14ac:dyDescent="0.25">
      <c r="A1124" s="5">
        <f>1116</f>
      </c>
      <c r="B1124" s="5" t="s">
        <v>1207</v>
      </c>
      <c r="C1124" s="5" t="s">
        <v>11</v>
      </c>
      <c r="D1124" s="5" t="s">
        <v>12</v>
      </c>
      <c r="E1124" s="5" t="s">
        <v>963</v>
      </c>
    </row>
    <row r="1125" spans="1:5" x14ac:dyDescent="0.25">
      <c r="A1125" s="5">
        <f>1117</f>
      </c>
      <c r="B1125" s="5" t="s">
        <v>1208</v>
      </c>
      <c r="C1125" s="5" t="s">
        <v>11</v>
      </c>
      <c r="D1125" s="5" t="s">
        <v>12</v>
      </c>
      <c r="E1125" s="5" t="s">
        <v>963</v>
      </c>
    </row>
    <row r="1126" spans="1:5" x14ac:dyDescent="0.25">
      <c r="A1126" s="5">
        <f>1118</f>
      </c>
      <c r="B1126" s="5" t="s">
        <v>1209</v>
      </c>
      <c r="C1126" s="5" t="s">
        <v>11</v>
      </c>
      <c r="D1126" s="5" t="s">
        <v>12</v>
      </c>
      <c r="E1126" s="5" t="s">
        <v>963</v>
      </c>
    </row>
    <row r="1127" spans="1:5" x14ac:dyDescent="0.25">
      <c r="A1127" s="5">
        <f>1119</f>
      </c>
      <c r="B1127" s="5" t="s">
        <v>1210</v>
      </c>
      <c r="C1127" s="5" t="s">
        <v>11</v>
      </c>
      <c r="D1127" s="5" t="s">
        <v>12</v>
      </c>
      <c r="E1127" s="5" t="s">
        <v>963</v>
      </c>
    </row>
    <row r="1128" spans="1:5" x14ac:dyDescent="0.25">
      <c r="A1128" s="5">
        <f>1120</f>
      </c>
      <c r="B1128" s="5" t="s">
        <v>1211</v>
      </c>
      <c r="C1128" s="5" t="s">
        <v>11</v>
      </c>
      <c r="D1128" s="5" t="s">
        <v>12</v>
      </c>
      <c r="E1128" s="5" t="s">
        <v>963</v>
      </c>
    </row>
    <row r="1129" spans="1:5" x14ac:dyDescent="0.25">
      <c r="A1129" s="5">
        <f>1121</f>
      </c>
      <c r="B1129" s="5" t="s">
        <v>1212</v>
      </c>
      <c r="C1129" s="5" t="s">
        <v>11</v>
      </c>
      <c r="D1129" s="5" t="s">
        <v>12</v>
      </c>
      <c r="E1129" s="5" t="s">
        <v>963</v>
      </c>
    </row>
    <row r="1130" spans="1:5" x14ac:dyDescent="0.25">
      <c r="A1130" s="5">
        <f>1122</f>
      </c>
      <c r="B1130" s="5" t="s">
        <v>1213</v>
      </c>
      <c r="C1130" s="5" t="s">
        <v>11</v>
      </c>
      <c r="D1130" s="5" t="s">
        <v>12</v>
      </c>
      <c r="E1130" s="5" t="s">
        <v>963</v>
      </c>
    </row>
    <row r="1131" spans="1:5" x14ac:dyDescent="0.25">
      <c r="A1131" s="5">
        <f>1123</f>
      </c>
      <c r="B1131" s="5" t="s">
        <v>1214</v>
      </c>
      <c r="C1131" s="5" t="s">
        <v>11</v>
      </c>
      <c r="D1131" s="5" t="s">
        <v>12</v>
      </c>
      <c r="E1131" s="5" t="s">
        <v>963</v>
      </c>
    </row>
    <row r="1132" spans="1:5" x14ac:dyDescent="0.25">
      <c r="A1132" s="5">
        <f>1124</f>
      </c>
      <c r="B1132" s="5" t="s">
        <v>1215</v>
      </c>
      <c r="C1132" s="5" t="s">
        <v>11</v>
      </c>
      <c r="D1132" s="5" t="s">
        <v>12</v>
      </c>
      <c r="E1132" s="5" t="s">
        <v>963</v>
      </c>
    </row>
    <row r="1133" spans="1:5" x14ac:dyDescent="0.25">
      <c r="A1133" s="5">
        <f>1125</f>
      </c>
      <c r="B1133" s="5" t="s">
        <v>1216</v>
      </c>
      <c r="C1133" s="5" t="s">
        <v>11</v>
      </c>
      <c r="D1133" s="5" t="s">
        <v>12</v>
      </c>
      <c r="E1133" s="5" t="s">
        <v>963</v>
      </c>
    </row>
    <row r="1134" spans="1:5" x14ac:dyDescent="0.25">
      <c r="A1134" s="5">
        <f>1126</f>
      </c>
      <c r="B1134" s="5" t="s">
        <v>1217</v>
      </c>
      <c r="C1134" s="5" t="s">
        <v>11</v>
      </c>
      <c r="D1134" s="5" t="s">
        <v>12</v>
      </c>
      <c r="E1134" s="5" t="s">
        <v>963</v>
      </c>
    </row>
    <row r="1135" spans="1:5" x14ac:dyDescent="0.25">
      <c r="A1135" s="5">
        <f>1127</f>
      </c>
      <c r="B1135" s="5" t="s">
        <v>1218</v>
      </c>
      <c r="C1135" s="5" t="s">
        <v>11</v>
      </c>
      <c r="D1135" s="5" t="s">
        <v>12</v>
      </c>
      <c r="E1135" s="5" t="s">
        <v>963</v>
      </c>
    </row>
    <row r="1136" spans="1:5" x14ac:dyDescent="0.25">
      <c r="A1136" s="5">
        <f>1128</f>
      </c>
      <c r="B1136" s="5" t="s">
        <v>1219</v>
      </c>
      <c r="C1136" s="5" t="s">
        <v>11</v>
      </c>
      <c r="D1136" s="5" t="s">
        <v>12</v>
      </c>
      <c r="E1136" s="5" t="s">
        <v>963</v>
      </c>
    </row>
    <row r="1137" spans="1:5" x14ac:dyDescent="0.25">
      <c r="A1137" s="5">
        <f>1129</f>
      </c>
      <c r="B1137" s="5" t="s">
        <v>1220</v>
      </c>
      <c r="C1137" s="5" t="s">
        <v>11</v>
      </c>
      <c r="D1137" s="5" t="s">
        <v>12</v>
      </c>
      <c r="E1137" s="5" t="s">
        <v>963</v>
      </c>
    </row>
    <row r="1138" spans="1:5" x14ac:dyDescent="0.25">
      <c r="A1138" s="5">
        <f>1130</f>
      </c>
      <c r="B1138" s="5" t="s">
        <v>1221</v>
      </c>
      <c r="C1138" s="5" t="s">
        <v>11</v>
      </c>
      <c r="D1138" s="5" t="s">
        <v>12</v>
      </c>
      <c r="E1138" s="5" t="s">
        <v>963</v>
      </c>
    </row>
    <row r="1139" spans="1:5" x14ac:dyDescent="0.25">
      <c r="A1139" s="5">
        <f>1131</f>
      </c>
      <c r="B1139" s="5" t="s">
        <v>1222</v>
      </c>
      <c r="C1139" s="5" t="s">
        <v>11</v>
      </c>
      <c r="D1139" s="5" t="s">
        <v>12</v>
      </c>
      <c r="E1139" s="5" t="s">
        <v>963</v>
      </c>
    </row>
    <row r="1140" spans="1:5" x14ac:dyDescent="0.25">
      <c r="A1140" s="5">
        <f>1132</f>
      </c>
      <c r="B1140" s="5" t="s">
        <v>1223</v>
      </c>
      <c r="C1140" s="5" t="s">
        <v>11</v>
      </c>
      <c r="D1140" s="5" t="s">
        <v>12</v>
      </c>
      <c r="E1140" s="5" t="s">
        <v>963</v>
      </c>
    </row>
    <row r="1141" spans="1:5" x14ac:dyDescent="0.25">
      <c r="A1141" s="5">
        <f>1133</f>
      </c>
      <c r="B1141" s="5" t="s">
        <v>1224</v>
      </c>
      <c r="C1141" s="5" t="s">
        <v>11</v>
      </c>
      <c r="D1141" s="5" t="s">
        <v>12</v>
      </c>
      <c r="E1141" s="5" t="s">
        <v>963</v>
      </c>
    </row>
    <row r="1142" spans="1:5" x14ac:dyDescent="0.25">
      <c r="A1142" s="5">
        <f>1134</f>
      </c>
      <c r="B1142" s="5" t="s">
        <v>1225</v>
      </c>
      <c r="C1142" s="5" t="s">
        <v>11</v>
      </c>
      <c r="D1142" s="5" t="s">
        <v>12</v>
      </c>
      <c r="E1142" s="5" t="s">
        <v>963</v>
      </c>
    </row>
    <row r="1143" spans="1:5" x14ac:dyDescent="0.25">
      <c r="A1143" s="5">
        <f>1135</f>
      </c>
      <c r="B1143" s="5" t="s">
        <v>1226</v>
      </c>
      <c r="C1143" s="5" t="s">
        <v>11</v>
      </c>
      <c r="D1143" s="5" t="s">
        <v>12</v>
      </c>
      <c r="E1143" s="5" t="s">
        <v>963</v>
      </c>
    </row>
    <row r="1144" spans="1:5" x14ac:dyDescent="0.25">
      <c r="A1144" s="5">
        <f>1136</f>
      </c>
      <c r="B1144" s="5" t="s">
        <v>1227</v>
      </c>
      <c r="C1144" s="5" t="s">
        <v>11</v>
      </c>
      <c r="D1144" s="5" t="s">
        <v>12</v>
      </c>
      <c r="E1144" s="5" t="s">
        <v>963</v>
      </c>
    </row>
    <row r="1145" spans="1:5" x14ac:dyDescent="0.25">
      <c r="A1145" s="5">
        <f>1137</f>
      </c>
      <c r="B1145" s="5" t="s">
        <v>1228</v>
      </c>
      <c r="C1145" s="5" t="s">
        <v>11</v>
      </c>
      <c r="D1145" s="5" t="s">
        <v>12</v>
      </c>
      <c r="E1145" s="5" t="s">
        <v>963</v>
      </c>
    </row>
    <row r="1146" spans="1:5" x14ac:dyDescent="0.25">
      <c r="A1146" s="5">
        <f>1138</f>
      </c>
      <c r="B1146" s="5" t="s">
        <v>1229</v>
      </c>
      <c r="C1146" s="5" t="s">
        <v>11</v>
      </c>
      <c r="D1146" s="5" t="s">
        <v>12</v>
      </c>
      <c r="E1146" s="5" t="s">
        <v>963</v>
      </c>
    </row>
    <row r="1147" spans="1:5" x14ac:dyDescent="0.25">
      <c r="A1147" s="5">
        <f>1139</f>
      </c>
      <c r="B1147" s="5" t="s">
        <v>1230</v>
      </c>
      <c r="C1147" s="5" t="s">
        <v>11</v>
      </c>
      <c r="D1147" s="5" t="s">
        <v>12</v>
      </c>
      <c r="E1147" s="5" t="s">
        <v>963</v>
      </c>
    </row>
    <row r="1148" spans="1:5" x14ac:dyDescent="0.25">
      <c r="A1148" s="5">
        <f>1140</f>
      </c>
      <c r="B1148" s="5" t="s">
        <v>1231</v>
      </c>
      <c r="C1148" s="5" t="s">
        <v>11</v>
      </c>
      <c r="D1148" s="5" t="s">
        <v>12</v>
      </c>
      <c r="E1148" s="5" t="s">
        <v>963</v>
      </c>
    </row>
    <row r="1149" spans="1:5" x14ac:dyDescent="0.25">
      <c r="A1149" s="5">
        <f>1141</f>
      </c>
      <c r="B1149" s="5" t="s">
        <v>1232</v>
      </c>
      <c r="C1149" s="5" t="s">
        <v>11</v>
      </c>
      <c r="D1149" s="5" t="s">
        <v>12</v>
      </c>
      <c r="E1149" s="5" t="s">
        <v>963</v>
      </c>
    </row>
    <row r="1150" spans="1:5" x14ac:dyDescent="0.25">
      <c r="A1150" s="5">
        <f>1142</f>
      </c>
      <c r="B1150" s="5" t="s">
        <v>1233</v>
      </c>
      <c r="C1150" s="5" t="s">
        <v>11</v>
      </c>
      <c r="D1150" s="5" t="s">
        <v>12</v>
      </c>
      <c r="E1150" s="5" t="s">
        <v>963</v>
      </c>
    </row>
    <row r="1151" spans="1:5" x14ac:dyDescent="0.25">
      <c r="A1151" s="5">
        <f>1143</f>
      </c>
      <c r="B1151" s="5" t="s">
        <v>1234</v>
      </c>
      <c r="C1151" s="5" t="s">
        <v>11</v>
      </c>
      <c r="D1151" s="5" t="s">
        <v>12</v>
      </c>
      <c r="E1151" s="5" t="s">
        <v>963</v>
      </c>
    </row>
    <row r="1152" spans="1:5" x14ac:dyDescent="0.25">
      <c r="A1152" s="5">
        <f>1144</f>
      </c>
      <c r="B1152" s="5" t="s">
        <v>1235</v>
      </c>
      <c r="C1152" s="5" t="s">
        <v>11</v>
      </c>
      <c r="D1152" s="5" t="s">
        <v>12</v>
      </c>
      <c r="E1152" s="5" t="s">
        <v>963</v>
      </c>
    </row>
    <row r="1153" spans="1:5" x14ac:dyDescent="0.25">
      <c r="A1153" s="5">
        <f>1145</f>
      </c>
      <c r="B1153" s="5" t="s">
        <v>1236</v>
      </c>
      <c r="C1153" s="5" t="s">
        <v>11</v>
      </c>
      <c r="D1153" s="5" t="s">
        <v>12</v>
      </c>
      <c r="E1153" s="5" t="s">
        <v>963</v>
      </c>
    </row>
    <row r="1154" spans="1:5" x14ac:dyDescent="0.25">
      <c r="A1154" s="5">
        <f>1146</f>
      </c>
      <c r="B1154" s="5" t="s">
        <v>1237</v>
      </c>
      <c r="C1154" s="5" t="s">
        <v>11</v>
      </c>
      <c r="D1154" s="5" t="s">
        <v>12</v>
      </c>
      <c r="E1154" s="5" t="s">
        <v>963</v>
      </c>
    </row>
    <row r="1155" spans="1:5" x14ac:dyDescent="0.25">
      <c r="A1155" s="5">
        <f>1147</f>
      </c>
      <c r="B1155" s="5" t="s">
        <v>1238</v>
      </c>
      <c r="C1155" s="5" t="s">
        <v>11</v>
      </c>
      <c r="D1155" s="5" t="s">
        <v>12</v>
      </c>
      <c r="E1155" s="5" t="s">
        <v>963</v>
      </c>
    </row>
    <row r="1156" spans="1:5" x14ac:dyDescent="0.25">
      <c r="A1156" s="5">
        <f>1148</f>
      </c>
      <c r="B1156" s="5" t="s">
        <v>1239</v>
      </c>
      <c r="C1156" s="5" t="s">
        <v>11</v>
      </c>
      <c r="D1156" s="5" t="s">
        <v>12</v>
      </c>
      <c r="E1156" s="5" t="s">
        <v>963</v>
      </c>
    </row>
    <row r="1157" spans="1:5" x14ac:dyDescent="0.25">
      <c r="A1157" s="5">
        <f>1149</f>
      </c>
      <c r="B1157" s="5" t="s">
        <v>1240</v>
      </c>
      <c r="C1157" s="5" t="s">
        <v>11</v>
      </c>
      <c r="D1157" s="5" t="s">
        <v>12</v>
      </c>
      <c r="E1157" s="5" t="s">
        <v>963</v>
      </c>
    </row>
    <row r="1158" spans="1:5" x14ac:dyDescent="0.25">
      <c r="A1158" s="5">
        <f>1150</f>
      </c>
      <c r="B1158" s="5" t="s">
        <v>1241</v>
      </c>
      <c r="C1158" s="5" t="s">
        <v>11</v>
      </c>
      <c r="D1158" s="5" t="s">
        <v>12</v>
      </c>
      <c r="E1158" s="5" t="s">
        <v>963</v>
      </c>
    </row>
    <row r="1159" spans="1:5" x14ac:dyDescent="0.25">
      <c r="A1159" s="5">
        <f>1151</f>
      </c>
      <c r="B1159" s="5" t="s">
        <v>1242</v>
      </c>
      <c r="C1159" s="5" t="s">
        <v>11</v>
      </c>
      <c r="D1159" s="5" t="s">
        <v>12</v>
      </c>
      <c r="E1159" s="5" t="s">
        <v>963</v>
      </c>
    </row>
    <row r="1160" spans="1:5" x14ac:dyDescent="0.25">
      <c r="A1160" s="5">
        <f>1152</f>
      </c>
      <c r="B1160" s="5" t="s">
        <v>1243</v>
      </c>
      <c r="C1160" s="5" t="s">
        <v>11</v>
      </c>
      <c r="D1160" s="5" t="s">
        <v>12</v>
      </c>
      <c r="E1160" s="5" t="s">
        <v>963</v>
      </c>
    </row>
    <row r="1161" spans="1:5" x14ac:dyDescent="0.25">
      <c r="A1161" s="5">
        <f>1153</f>
      </c>
      <c r="B1161" s="5" t="s">
        <v>1244</v>
      </c>
      <c r="C1161" s="5" t="s">
        <v>11</v>
      </c>
      <c r="D1161" s="5" t="s">
        <v>12</v>
      </c>
      <c r="E1161" s="5" t="s">
        <v>963</v>
      </c>
    </row>
    <row r="1162" spans="1:5" x14ac:dyDescent="0.25">
      <c r="A1162" s="5">
        <f>1154</f>
      </c>
      <c r="B1162" s="5" t="s">
        <v>1245</v>
      </c>
      <c r="C1162" s="5" t="s">
        <v>11</v>
      </c>
      <c r="D1162" s="5" t="s">
        <v>12</v>
      </c>
      <c r="E1162" s="5" t="s">
        <v>963</v>
      </c>
    </row>
    <row r="1163" spans="1:5" x14ac:dyDescent="0.25">
      <c r="A1163" s="5">
        <f>1155</f>
      </c>
      <c r="B1163" s="5" t="s">
        <v>1246</v>
      </c>
      <c r="C1163" s="5" t="s">
        <v>11</v>
      </c>
      <c r="D1163" s="5" t="s">
        <v>12</v>
      </c>
      <c r="E1163" s="5" t="s">
        <v>963</v>
      </c>
    </row>
    <row r="1164" spans="1:5" x14ac:dyDescent="0.25">
      <c r="A1164" s="5">
        <f>1156</f>
      </c>
      <c r="B1164" s="5" t="s">
        <v>1247</v>
      </c>
      <c r="C1164" s="5" t="s">
        <v>11</v>
      </c>
      <c r="D1164" s="5" t="s">
        <v>12</v>
      </c>
      <c r="E1164" s="5" t="s">
        <v>963</v>
      </c>
    </row>
    <row r="1165" spans="1:5" x14ac:dyDescent="0.25">
      <c r="A1165" s="5">
        <f>1157</f>
      </c>
      <c r="B1165" s="5" t="s">
        <v>1248</v>
      </c>
      <c r="C1165" s="5" t="s">
        <v>11</v>
      </c>
      <c r="D1165" s="5" t="s">
        <v>12</v>
      </c>
      <c r="E1165" s="5" t="s">
        <v>963</v>
      </c>
    </row>
    <row r="1166" spans="1:5" x14ac:dyDescent="0.25">
      <c r="A1166" s="5">
        <f>1158</f>
      </c>
      <c r="B1166" s="5" t="s">
        <v>1249</v>
      </c>
      <c r="C1166" s="5" t="s">
        <v>11</v>
      </c>
      <c r="D1166" s="5" t="s">
        <v>12</v>
      </c>
      <c r="E1166" s="5" t="s">
        <v>963</v>
      </c>
    </row>
    <row r="1167" spans="1:5" x14ac:dyDescent="0.25">
      <c r="A1167" s="5">
        <f>1159</f>
      </c>
      <c r="B1167" s="5" t="s">
        <v>1250</v>
      </c>
      <c r="C1167" s="5" t="s">
        <v>11</v>
      </c>
      <c r="D1167" s="5" t="s">
        <v>12</v>
      </c>
      <c r="E1167" s="5" t="s">
        <v>963</v>
      </c>
    </row>
    <row r="1168" spans="1:5" x14ac:dyDescent="0.25">
      <c r="A1168" s="5">
        <f>1160</f>
      </c>
      <c r="B1168" s="5" t="s">
        <v>1251</v>
      </c>
      <c r="C1168" s="5" t="s">
        <v>11</v>
      </c>
      <c r="D1168" s="5" t="s">
        <v>12</v>
      </c>
      <c r="E1168" s="5" t="s">
        <v>963</v>
      </c>
    </row>
    <row r="1169" spans="1:5" x14ac:dyDescent="0.25">
      <c r="A1169" s="5">
        <f>1161</f>
      </c>
      <c r="B1169" s="5" t="s">
        <v>1252</v>
      </c>
      <c r="C1169" s="5" t="s">
        <v>11</v>
      </c>
      <c r="D1169" s="5" t="s">
        <v>12</v>
      </c>
      <c r="E1169" s="5" t="s">
        <v>963</v>
      </c>
    </row>
    <row r="1170" spans="1:5" x14ac:dyDescent="0.25">
      <c r="A1170" s="5">
        <f>1162</f>
      </c>
      <c r="B1170" s="5" t="s">
        <v>1253</v>
      </c>
      <c r="C1170" s="5" t="s">
        <v>11</v>
      </c>
      <c r="D1170" s="5" t="s">
        <v>12</v>
      </c>
      <c r="E1170" s="5" t="s">
        <v>963</v>
      </c>
    </row>
    <row r="1171" spans="1:5" x14ac:dyDescent="0.25">
      <c r="A1171" s="5">
        <f>1163</f>
      </c>
      <c r="B1171" s="5" t="s">
        <v>1254</v>
      </c>
      <c r="C1171" s="5" t="s">
        <v>11</v>
      </c>
      <c r="D1171" s="5" t="s">
        <v>12</v>
      </c>
      <c r="E1171" s="5" t="s">
        <v>963</v>
      </c>
    </row>
    <row r="1172" spans="1:5" x14ac:dyDescent="0.25">
      <c r="A1172" s="5">
        <f>1164</f>
      </c>
      <c r="B1172" s="5" t="s">
        <v>1255</v>
      </c>
      <c r="C1172" s="5" t="s">
        <v>11</v>
      </c>
      <c r="D1172" s="5" t="s">
        <v>12</v>
      </c>
      <c r="E1172" s="5" t="s">
        <v>963</v>
      </c>
    </row>
    <row r="1173" spans="1:5" x14ac:dyDescent="0.25">
      <c r="A1173" s="5">
        <f>1165</f>
      </c>
      <c r="B1173" s="5" t="s">
        <v>1256</v>
      </c>
      <c r="C1173" s="5" t="s">
        <v>11</v>
      </c>
      <c r="D1173" s="5" t="s">
        <v>12</v>
      </c>
      <c r="E1173" s="5" t="s">
        <v>963</v>
      </c>
    </row>
    <row r="1174" spans="1:5" x14ac:dyDescent="0.25">
      <c r="A1174" s="5">
        <f>1166</f>
      </c>
      <c r="B1174" s="5" t="s">
        <v>1257</v>
      </c>
      <c r="C1174" s="5" t="s">
        <v>11</v>
      </c>
      <c r="D1174" s="5" t="s">
        <v>12</v>
      </c>
      <c r="E1174" s="5" t="s">
        <v>963</v>
      </c>
    </row>
    <row r="1175" spans="1:5" x14ac:dyDescent="0.25">
      <c r="A1175" s="5">
        <f>1167</f>
      </c>
      <c r="B1175" s="5" t="s">
        <v>1258</v>
      </c>
      <c r="C1175" s="5" t="s">
        <v>11</v>
      </c>
      <c r="D1175" s="5" t="s">
        <v>12</v>
      </c>
      <c r="E1175" s="5" t="s">
        <v>963</v>
      </c>
    </row>
    <row r="1176" spans="1:5" x14ac:dyDescent="0.25">
      <c r="A1176" s="5">
        <f>1168</f>
      </c>
      <c r="B1176" s="5" t="s">
        <v>1259</v>
      </c>
      <c r="C1176" s="5" t="s">
        <v>11</v>
      </c>
      <c r="D1176" s="5" t="s">
        <v>12</v>
      </c>
      <c r="E1176" s="5" t="s">
        <v>963</v>
      </c>
    </row>
    <row r="1177" spans="1:5" x14ac:dyDescent="0.25">
      <c r="A1177" s="5">
        <f>1169</f>
      </c>
      <c r="B1177" s="5" t="s">
        <v>1260</v>
      </c>
      <c r="C1177" s="5" t="s">
        <v>11</v>
      </c>
      <c r="D1177" s="5" t="s">
        <v>12</v>
      </c>
      <c r="E1177" s="5" t="s">
        <v>963</v>
      </c>
    </row>
    <row r="1178" spans="1:5" x14ac:dyDescent="0.25">
      <c r="A1178" s="5">
        <f>1170</f>
      </c>
      <c r="B1178" s="5" t="s">
        <v>1261</v>
      </c>
      <c r="C1178" s="5" t="s">
        <v>11</v>
      </c>
      <c r="D1178" s="5" t="s">
        <v>12</v>
      </c>
      <c r="E1178" s="5" t="s">
        <v>963</v>
      </c>
    </row>
    <row r="1179" spans="1:5" x14ac:dyDescent="0.25">
      <c r="A1179" s="5">
        <f>1171</f>
      </c>
      <c r="B1179" s="5" t="s">
        <v>1262</v>
      </c>
      <c r="C1179" s="5" t="s">
        <v>11</v>
      </c>
      <c r="D1179" s="5" t="s">
        <v>12</v>
      </c>
      <c r="E1179" s="5" t="s">
        <v>963</v>
      </c>
    </row>
    <row r="1180" spans="1:5" x14ac:dyDescent="0.25">
      <c r="A1180" s="5">
        <f>1172</f>
      </c>
      <c r="B1180" s="5" t="s">
        <v>1263</v>
      </c>
      <c r="C1180" s="5" t="s">
        <v>11</v>
      </c>
      <c r="D1180" s="5" t="s">
        <v>12</v>
      </c>
      <c r="E1180" s="5" t="s">
        <v>963</v>
      </c>
    </row>
    <row r="1181" spans="1:5" x14ac:dyDescent="0.25">
      <c r="A1181" s="5">
        <f>1173</f>
      </c>
      <c r="B1181" s="5" t="s">
        <v>1264</v>
      </c>
      <c r="C1181" s="5" t="s">
        <v>11</v>
      </c>
      <c r="D1181" s="5" t="s">
        <v>12</v>
      </c>
      <c r="E1181" s="5" t="s">
        <v>963</v>
      </c>
    </row>
    <row r="1182" spans="1:5" x14ac:dyDescent="0.25">
      <c r="A1182" s="5">
        <f>1174</f>
      </c>
      <c r="B1182" s="5" t="s">
        <v>1265</v>
      </c>
      <c r="C1182" s="5" t="s">
        <v>11</v>
      </c>
      <c r="D1182" s="5" t="s">
        <v>12</v>
      </c>
      <c r="E1182" s="5" t="s">
        <v>963</v>
      </c>
    </row>
    <row r="1183" spans="1:5" x14ac:dyDescent="0.25">
      <c r="A1183" s="5">
        <f>1175</f>
      </c>
      <c r="B1183" s="5" t="s">
        <v>1266</v>
      </c>
      <c r="C1183" s="5" t="s">
        <v>11</v>
      </c>
      <c r="D1183" s="5" t="s">
        <v>12</v>
      </c>
      <c r="E1183" s="5" t="s">
        <v>963</v>
      </c>
    </row>
    <row r="1184" spans="1:5" x14ac:dyDescent="0.25">
      <c r="A1184" s="5">
        <f>1176</f>
      </c>
      <c r="B1184" s="5" t="s">
        <v>1267</v>
      </c>
      <c r="C1184" s="5" t="s">
        <v>11</v>
      </c>
      <c r="D1184" s="5" t="s">
        <v>12</v>
      </c>
      <c r="E1184" s="5" t="s">
        <v>963</v>
      </c>
    </row>
    <row r="1185" spans="1:5" x14ac:dyDescent="0.25">
      <c r="A1185" s="5">
        <f>1177</f>
      </c>
      <c r="B1185" s="5" t="s">
        <v>1268</v>
      </c>
      <c r="C1185" s="5" t="s">
        <v>11</v>
      </c>
      <c r="D1185" s="5" t="s">
        <v>12</v>
      </c>
      <c r="E1185" s="5" t="s">
        <v>963</v>
      </c>
    </row>
    <row r="1186" spans="1:5" x14ac:dyDescent="0.25">
      <c r="A1186" s="5">
        <f>1178</f>
      </c>
      <c r="B1186" s="5" t="s">
        <v>1269</v>
      </c>
      <c r="C1186" s="5" t="s">
        <v>11</v>
      </c>
      <c r="D1186" s="5" t="s">
        <v>12</v>
      </c>
      <c r="E1186" s="5" t="s">
        <v>963</v>
      </c>
    </row>
    <row r="1187" spans="1:5" x14ac:dyDescent="0.25">
      <c r="A1187" s="5">
        <f>1179</f>
      </c>
      <c r="B1187" s="5" t="s">
        <v>1270</v>
      </c>
      <c r="C1187" s="5" t="s">
        <v>11</v>
      </c>
      <c r="D1187" s="5" t="s">
        <v>12</v>
      </c>
      <c r="E1187" s="5" t="s">
        <v>963</v>
      </c>
    </row>
    <row r="1188" spans="1:5" x14ac:dyDescent="0.25">
      <c r="A1188" s="5">
        <f>1180</f>
      </c>
      <c r="B1188" s="5" t="s">
        <v>1271</v>
      </c>
      <c r="C1188" s="5" t="s">
        <v>11</v>
      </c>
      <c r="D1188" s="5" t="s">
        <v>12</v>
      </c>
      <c r="E1188" s="5" t="s">
        <v>963</v>
      </c>
    </row>
    <row r="1189" spans="1:5" x14ac:dyDescent="0.25">
      <c r="A1189" s="5">
        <f>1181</f>
      </c>
      <c r="B1189" s="5" t="s">
        <v>1272</v>
      </c>
      <c r="C1189" s="5" t="s">
        <v>11</v>
      </c>
      <c r="D1189" s="5" t="s">
        <v>12</v>
      </c>
      <c r="E1189" s="5" t="s">
        <v>963</v>
      </c>
    </row>
    <row r="1190" spans="1:5" x14ac:dyDescent="0.25">
      <c r="A1190" s="5">
        <f>1182</f>
      </c>
      <c r="B1190" s="5" t="s">
        <v>1273</v>
      </c>
      <c r="C1190" s="5" t="s">
        <v>11</v>
      </c>
      <c r="D1190" s="5" t="s">
        <v>12</v>
      </c>
      <c r="E1190" s="5" t="s">
        <v>963</v>
      </c>
    </row>
    <row r="1191" spans="1:5" x14ac:dyDescent="0.25">
      <c r="A1191" s="5">
        <f>1183</f>
      </c>
      <c r="B1191" s="5" t="s">
        <v>1274</v>
      </c>
      <c r="C1191" s="5" t="s">
        <v>11</v>
      </c>
      <c r="D1191" s="5" t="s">
        <v>12</v>
      </c>
      <c r="E1191" s="5" t="s">
        <v>963</v>
      </c>
    </row>
    <row r="1192" spans="1:5" x14ac:dyDescent="0.25">
      <c r="A1192" s="5">
        <f>1184</f>
      </c>
      <c r="B1192" s="5" t="s">
        <v>1275</v>
      </c>
      <c r="C1192" s="5" t="s">
        <v>11</v>
      </c>
      <c r="D1192" s="5" t="s">
        <v>12</v>
      </c>
      <c r="E1192" s="5" t="s">
        <v>963</v>
      </c>
    </row>
    <row r="1193" spans="1:5" x14ac:dyDescent="0.25">
      <c r="A1193" s="5">
        <f>1185</f>
      </c>
      <c r="B1193" s="5" t="s">
        <v>1276</v>
      </c>
      <c r="C1193" s="5" t="s">
        <v>11</v>
      </c>
      <c r="D1193" s="5" t="s">
        <v>12</v>
      </c>
      <c r="E1193" s="5" t="s">
        <v>963</v>
      </c>
    </row>
    <row r="1194" spans="1:5" x14ac:dyDescent="0.25">
      <c r="A1194" s="5">
        <f>1186</f>
      </c>
      <c r="B1194" s="5" t="s">
        <v>1277</v>
      </c>
      <c r="C1194" s="5" t="s">
        <v>11</v>
      </c>
      <c r="D1194" s="5" t="s">
        <v>12</v>
      </c>
      <c r="E1194" s="5" t="s">
        <v>963</v>
      </c>
    </row>
    <row r="1195" spans="1:5" x14ac:dyDescent="0.25">
      <c r="A1195" s="5">
        <f>1187</f>
      </c>
      <c r="B1195" s="5" t="s">
        <v>1278</v>
      </c>
      <c r="C1195" s="5" t="s">
        <v>11</v>
      </c>
      <c r="D1195" s="5" t="s">
        <v>12</v>
      </c>
      <c r="E1195" s="5" t="s">
        <v>963</v>
      </c>
    </row>
    <row r="1196" spans="1:5" x14ac:dyDescent="0.25">
      <c r="A1196" s="5">
        <f>1188</f>
      </c>
      <c r="B1196" s="5" t="s">
        <v>1279</v>
      </c>
      <c r="C1196" s="5" t="s">
        <v>11</v>
      </c>
      <c r="D1196" s="5" t="s">
        <v>12</v>
      </c>
      <c r="E1196" s="5" t="s">
        <v>963</v>
      </c>
    </row>
    <row r="1197" spans="1:5" x14ac:dyDescent="0.25">
      <c r="A1197" s="5">
        <f>1189</f>
      </c>
      <c r="B1197" s="5" t="s">
        <v>1280</v>
      </c>
      <c r="C1197" s="5" t="s">
        <v>11</v>
      </c>
      <c r="D1197" s="5" t="s">
        <v>12</v>
      </c>
      <c r="E1197" s="5" t="s">
        <v>963</v>
      </c>
    </row>
    <row r="1198" spans="1:5" x14ac:dyDescent="0.25">
      <c r="A1198" s="5">
        <f>1190</f>
      </c>
      <c r="B1198" s="5" t="s">
        <v>1281</v>
      </c>
      <c r="C1198" s="5" t="s">
        <v>11</v>
      </c>
      <c r="D1198" s="5" t="s">
        <v>12</v>
      </c>
      <c r="E1198" s="5" t="s">
        <v>963</v>
      </c>
    </row>
    <row r="1199" spans="1:5" x14ac:dyDescent="0.25">
      <c r="A1199" s="5">
        <f>1191</f>
      </c>
      <c r="B1199" s="5" t="s">
        <v>1282</v>
      </c>
      <c r="C1199" s="5" t="s">
        <v>11</v>
      </c>
      <c r="D1199" s="5" t="s">
        <v>12</v>
      </c>
      <c r="E1199" s="5" t="s">
        <v>963</v>
      </c>
    </row>
    <row r="1200" spans="1:5" x14ac:dyDescent="0.25">
      <c r="A1200" s="5">
        <f>1192</f>
      </c>
      <c r="B1200" s="5" t="s">
        <v>1283</v>
      </c>
      <c r="C1200" s="5" t="s">
        <v>11</v>
      </c>
      <c r="D1200" s="5" t="s">
        <v>12</v>
      </c>
      <c r="E1200" s="5" t="s">
        <v>963</v>
      </c>
    </row>
    <row r="1201" spans="1:5" x14ac:dyDescent="0.25">
      <c r="A1201" s="5">
        <f>1193</f>
      </c>
      <c r="B1201" s="5" t="s">
        <v>1284</v>
      </c>
      <c r="C1201" s="5" t="s">
        <v>11</v>
      </c>
      <c r="D1201" s="5" t="s">
        <v>12</v>
      </c>
      <c r="E1201" s="5" t="s">
        <v>963</v>
      </c>
    </row>
    <row r="1202" spans="1:5" x14ac:dyDescent="0.25">
      <c r="A1202" s="5">
        <f>1194</f>
      </c>
      <c r="B1202" s="5" t="s">
        <v>1285</v>
      </c>
      <c r="C1202" s="5" t="s">
        <v>11</v>
      </c>
      <c r="D1202" s="5" t="s">
        <v>12</v>
      </c>
      <c r="E1202" s="5" t="s">
        <v>963</v>
      </c>
    </row>
    <row r="1203" spans="1:5" x14ac:dyDescent="0.25">
      <c r="A1203" s="5">
        <f>1195</f>
      </c>
      <c r="B1203" s="5" t="s">
        <v>1286</v>
      </c>
      <c r="C1203" s="5" t="s">
        <v>11</v>
      </c>
      <c r="D1203" s="5" t="s">
        <v>12</v>
      </c>
      <c r="E1203" s="5" t="s">
        <v>963</v>
      </c>
    </row>
    <row r="1204" spans="1:5" x14ac:dyDescent="0.25">
      <c r="A1204" s="5">
        <f>1196</f>
      </c>
      <c r="B1204" s="5" t="s">
        <v>1287</v>
      </c>
      <c r="C1204" s="5" t="s">
        <v>11</v>
      </c>
      <c r="D1204" s="5" t="s">
        <v>12</v>
      </c>
      <c r="E1204" s="5" t="s">
        <v>963</v>
      </c>
    </row>
    <row r="1205" spans="1:5" x14ac:dyDescent="0.25">
      <c r="A1205" s="5">
        <f>1197</f>
      </c>
      <c r="B1205" s="5" t="s">
        <v>1288</v>
      </c>
      <c r="C1205" s="5" t="s">
        <v>11</v>
      </c>
      <c r="D1205" s="5" t="s">
        <v>12</v>
      </c>
      <c r="E1205" s="5" t="s">
        <v>963</v>
      </c>
    </row>
    <row r="1206" spans="1:5" x14ac:dyDescent="0.25">
      <c r="A1206" s="5">
        <f>1198</f>
      </c>
      <c r="B1206" s="5" t="s">
        <v>1289</v>
      </c>
      <c r="C1206" s="5" t="s">
        <v>11</v>
      </c>
      <c r="D1206" s="5" t="s">
        <v>12</v>
      </c>
      <c r="E1206" s="5" t="s">
        <v>963</v>
      </c>
    </row>
    <row r="1207" spans="1:5" x14ac:dyDescent="0.25">
      <c r="A1207" s="5">
        <f>1199</f>
      </c>
      <c r="B1207" s="5" t="s">
        <v>1290</v>
      </c>
      <c r="C1207" s="5" t="s">
        <v>11</v>
      </c>
      <c r="D1207" s="5" t="s">
        <v>12</v>
      </c>
      <c r="E1207" s="5" t="s">
        <v>963</v>
      </c>
    </row>
    <row r="1208" spans="1:5" x14ac:dyDescent="0.25">
      <c r="A1208" s="5">
        <f>1200</f>
      </c>
      <c r="B1208" s="5" t="s">
        <v>1291</v>
      </c>
      <c r="C1208" s="5" t="s">
        <v>11</v>
      </c>
      <c r="D1208" s="5" t="s">
        <v>12</v>
      </c>
      <c r="E1208" s="5" t="s">
        <v>963</v>
      </c>
    </row>
    <row r="1209" spans="1:5" x14ac:dyDescent="0.25">
      <c r="A1209" s="5">
        <f>1201</f>
      </c>
      <c r="B1209" s="5" t="s">
        <v>1292</v>
      </c>
      <c r="C1209" s="5" t="s">
        <v>11</v>
      </c>
      <c r="D1209" s="5" t="s">
        <v>12</v>
      </c>
      <c r="E1209" s="5" t="s">
        <v>963</v>
      </c>
    </row>
    <row r="1210" spans="1:5" x14ac:dyDescent="0.25">
      <c r="A1210" s="5">
        <f>1202</f>
      </c>
      <c r="B1210" s="5" t="s">
        <v>1293</v>
      </c>
      <c r="C1210" s="5" t="s">
        <v>11</v>
      </c>
      <c r="D1210" s="5" t="s">
        <v>12</v>
      </c>
      <c r="E1210" s="5" t="s">
        <v>963</v>
      </c>
    </row>
    <row r="1211" spans="1:5" x14ac:dyDescent="0.25">
      <c r="A1211" s="5">
        <f>1203</f>
      </c>
      <c r="B1211" s="5" t="s">
        <v>1294</v>
      </c>
      <c r="C1211" s="5" t="s">
        <v>11</v>
      </c>
      <c r="D1211" s="5" t="s">
        <v>12</v>
      </c>
      <c r="E1211" s="5" t="s">
        <v>963</v>
      </c>
    </row>
    <row r="1212" spans="1:5" x14ac:dyDescent="0.25">
      <c r="A1212" s="5">
        <f>1204</f>
      </c>
      <c r="B1212" s="5" t="s">
        <v>1295</v>
      </c>
      <c r="C1212" s="5" t="s">
        <v>11</v>
      </c>
      <c r="D1212" s="5" t="s">
        <v>12</v>
      </c>
      <c r="E1212" s="5" t="s">
        <v>963</v>
      </c>
    </row>
    <row r="1213" spans="1:5" x14ac:dyDescent="0.25">
      <c r="A1213" s="5">
        <f>1205</f>
      </c>
      <c r="B1213" s="5" t="s">
        <v>1296</v>
      </c>
      <c r="C1213" s="5" t="s">
        <v>11</v>
      </c>
      <c r="D1213" s="5" t="s">
        <v>12</v>
      </c>
      <c r="E1213" s="5" t="s">
        <v>963</v>
      </c>
    </row>
    <row r="1214" spans="1:5" x14ac:dyDescent="0.25">
      <c r="A1214" s="5">
        <f>1206</f>
      </c>
      <c r="B1214" s="5" t="s">
        <v>1297</v>
      </c>
      <c r="C1214" s="5" t="s">
        <v>11</v>
      </c>
      <c r="D1214" s="5" t="s">
        <v>12</v>
      </c>
      <c r="E1214" s="5" t="s">
        <v>963</v>
      </c>
    </row>
    <row r="1215" spans="1:5" x14ac:dyDescent="0.25">
      <c r="A1215" s="5">
        <f>1207</f>
      </c>
      <c r="B1215" s="5" t="s">
        <v>1298</v>
      </c>
      <c r="C1215" s="5" t="s">
        <v>11</v>
      </c>
      <c r="D1215" s="5" t="s">
        <v>12</v>
      </c>
      <c r="E1215" s="5" t="s">
        <v>963</v>
      </c>
    </row>
    <row r="1216" spans="1:5" x14ac:dyDescent="0.25">
      <c r="A1216" s="5">
        <f>1208</f>
      </c>
      <c r="B1216" s="5" t="s">
        <v>1299</v>
      </c>
      <c r="C1216" s="5" t="s">
        <v>11</v>
      </c>
      <c r="D1216" s="5" t="s">
        <v>12</v>
      </c>
      <c r="E1216" s="5" t="s">
        <v>963</v>
      </c>
    </row>
    <row r="1217" spans="1:5" x14ac:dyDescent="0.25">
      <c r="A1217" s="5">
        <f>1209</f>
      </c>
      <c r="B1217" s="5" t="s">
        <v>1300</v>
      </c>
      <c r="C1217" s="5" t="s">
        <v>11</v>
      </c>
      <c r="D1217" s="5" t="s">
        <v>12</v>
      </c>
      <c r="E1217" s="5" t="s">
        <v>963</v>
      </c>
    </row>
    <row r="1218" spans="1:5" x14ac:dyDescent="0.25">
      <c r="A1218" s="5">
        <f>1210</f>
      </c>
      <c r="B1218" s="5" t="s">
        <v>1301</v>
      </c>
      <c r="C1218" s="5" t="s">
        <v>11</v>
      </c>
      <c r="D1218" s="5" t="s">
        <v>12</v>
      </c>
      <c r="E1218" s="5" t="s">
        <v>963</v>
      </c>
    </row>
    <row r="1219" spans="1:5" x14ac:dyDescent="0.25">
      <c r="A1219" s="5">
        <f>1211</f>
      </c>
      <c r="B1219" s="5" t="s">
        <v>1302</v>
      </c>
      <c r="C1219" s="5" t="s">
        <v>11</v>
      </c>
      <c r="D1219" s="5" t="s">
        <v>12</v>
      </c>
      <c r="E1219" s="5" t="s">
        <v>963</v>
      </c>
    </row>
    <row r="1220" spans="1:5" x14ac:dyDescent="0.25">
      <c r="A1220" s="5">
        <f>1212</f>
      </c>
      <c r="B1220" s="5" t="s">
        <v>1303</v>
      </c>
      <c r="C1220" s="5" t="s">
        <v>11</v>
      </c>
      <c r="D1220" s="5" t="s">
        <v>12</v>
      </c>
      <c r="E1220" s="5" t="s">
        <v>963</v>
      </c>
    </row>
    <row r="1221" spans="1:5" x14ac:dyDescent="0.25">
      <c r="A1221" s="5">
        <f>1213</f>
      </c>
      <c r="B1221" s="5" t="s">
        <v>1304</v>
      </c>
      <c r="C1221" s="5" t="s">
        <v>11</v>
      </c>
      <c r="D1221" s="5" t="s">
        <v>12</v>
      </c>
      <c r="E1221" s="5" t="s">
        <v>963</v>
      </c>
    </row>
    <row r="1222" spans="1:5" x14ac:dyDescent="0.25">
      <c r="A1222" s="5">
        <f>1214</f>
      </c>
      <c r="B1222" s="5" t="s">
        <v>1305</v>
      </c>
      <c r="C1222" s="5" t="s">
        <v>11</v>
      </c>
      <c r="D1222" s="5" t="s">
        <v>12</v>
      </c>
      <c r="E1222" s="5" t="s">
        <v>963</v>
      </c>
    </row>
    <row r="1223" spans="1:5" x14ac:dyDescent="0.25">
      <c r="A1223" s="5">
        <f>1215</f>
      </c>
      <c r="B1223" s="5" t="s">
        <v>1306</v>
      </c>
      <c r="C1223" s="5" t="s">
        <v>11</v>
      </c>
      <c r="D1223" s="5" t="s">
        <v>12</v>
      </c>
      <c r="E1223" s="5" t="s">
        <v>963</v>
      </c>
    </row>
    <row r="1224" spans="1:5" x14ac:dyDescent="0.25">
      <c r="A1224" s="5">
        <f>1216</f>
      </c>
      <c r="B1224" s="5" t="s">
        <v>1307</v>
      </c>
      <c r="C1224" s="5" t="s">
        <v>11</v>
      </c>
      <c r="D1224" s="5" t="s">
        <v>12</v>
      </c>
      <c r="E1224" s="5" t="s">
        <v>963</v>
      </c>
    </row>
    <row r="1225" spans="1:5" x14ac:dyDescent="0.25">
      <c r="A1225" s="5">
        <f>1217</f>
      </c>
      <c r="B1225" s="5" t="s">
        <v>1308</v>
      </c>
      <c r="C1225" s="5" t="s">
        <v>11</v>
      </c>
      <c r="D1225" s="5" t="s">
        <v>12</v>
      </c>
      <c r="E1225" s="5" t="s">
        <v>963</v>
      </c>
    </row>
    <row r="1226" spans="1:5" x14ac:dyDescent="0.25">
      <c r="A1226" s="5">
        <f>1218</f>
      </c>
      <c r="B1226" s="5" t="s">
        <v>1309</v>
      </c>
      <c r="C1226" s="5" t="s">
        <v>11</v>
      </c>
      <c r="D1226" s="5" t="s">
        <v>12</v>
      </c>
      <c r="E1226" s="5" t="s">
        <v>963</v>
      </c>
    </row>
    <row r="1227" spans="1:5" x14ac:dyDescent="0.25">
      <c r="A1227" s="5">
        <f>1219</f>
      </c>
      <c r="B1227" s="5" t="s">
        <v>1310</v>
      </c>
      <c r="C1227" s="5" t="s">
        <v>11</v>
      </c>
      <c r="D1227" s="5" t="s">
        <v>12</v>
      </c>
      <c r="E1227" s="5" t="s">
        <v>963</v>
      </c>
    </row>
    <row r="1228" spans="1:5" x14ac:dyDescent="0.25">
      <c r="A1228" s="5">
        <f>1220</f>
      </c>
      <c r="B1228" s="5" t="s">
        <v>1311</v>
      </c>
      <c r="C1228" s="5" t="s">
        <v>11</v>
      </c>
      <c r="D1228" s="5" t="s">
        <v>12</v>
      </c>
      <c r="E1228" s="5" t="s">
        <v>963</v>
      </c>
    </row>
    <row r="1229" spans="1:5" x14ac:dyDescent="0.25">
      <c r="A1229" s="5">
        <f>1221</f>
      </c>
      <c r="B1229" s="5" t="s">
        <v>1312</v>
      </c>
      <c r="C1229" s="5" t="s">
        <v>11</v>
      </c>
      <c r="D1229" s="5" t="s">
        <v>12</v>
      </c>
      <c r="E1229" s="5" t="s">
        <v>963</v>
      </c>
    </row>
    <row r="1230" spans="1:5" x14ac:dyDescent="0.25">
      <c r="A1230" s="5">
        <f>1222</f>
      </c>
      <c r="B1230" s="5" t="s">
        <v>1313</v>
      </c>
      <c r="C1230" s="5" t="s">
        <v>11</v>
      </c>
      <c r="D1230" s="5" t="s">
        <v>12</v>
      </c>
      <c r="E1230" s="5" t="s">
        <v>963</v>
      </c>
    </row>
    <row r="1231" spans="1:5" x14ac:dyDescent="0.25">
      <c r="A1231" s="5">
        <f>1223</f>
      </c>
      <c r="B1231" s="5" t="s">
        <v>1314</v>
      </c>
      <c r="C1231" s="5" t="s">
        <v>11</v>
      </c>
      <c r="D1231" s="5" t="s">
        <v>12</v>
      </c>
      <c r="E1231" s="5" t="s">
        <v>963</v>
      </c>
    </row>
    <row r="1232" spans="1:5" x14ac:dyDescent="0.25">
      <c r="A1232" s="5">
        <f>1224</f>
      </c>
      <c r="B1232" s="5" t="s">
        <v>1315</v>
      </c>
      <c r="C1232" s="5" t="s">
        <v>11</v>
      </c>
      <c r="D1232" s="5" t="s">
        <v>12</v>
      </c>
      <c r="E1232" s="5" t="s">
        <v>963</v>
      </c>
    </row>
    <row r="1233" spans="1:5" x14ac:dyDescent="0.25">
      <c r="A1233" s="5">
        <f>1225</f>
      </c>
      <c r="B1233" s="5" t="s">
        <v>1316</v>
      </c>
      <c r="C1233" s="5" t="s">
        <v>11</v>
      </c>
      <c r="D1233" s="5" t="s">
        <v>12</v>
      </c>
      <c r="E1233" s="5" t="s">
        <v>963</v>
      </c>
    </row>
    <row r="1234" spans="1:5" x14ac:dyDescent="0.25">
      <c r="A1234" s="5">
        <f>1226</f>
      </c>
      <c r="B1234" s="5" t="s">
        <v>1317</v>
      </c>
      <c r="C1234" s="5" t="s">
        <v>11</v>
      </c>
      <c r="D1234" s="5" t="s">
        <v>12</v>
      </c>
      <c r="E1234" s="5" t="s">
        <v>963</v>
      </c>
    </row>
    <row r="1235" spans="1:5" x14ac:dyDescent="0.25">
      <c r="A1235" s="5">
        <f>1227</f>
      </c>
      <c r="B1235" s="5" t="s">
        <v>1318</v>
      </c>
      <c r="C1235" s="5" t="s">
        <v>11</v>
      </c>
      <c r="D1235" s="5" t="s">
        <v>12</v>
      </c>
      <c r="E1235" s="5" t="s">
        <v>963</v>
      </c>
    </row>
    <row r="1236" spans="1:5" x14ac:dyDescent="0.25">
      <c r="A1236" s="5">
        <f>1228</f>
      </c>
      <c r="B1236" s="5" t="s">
        <v>1319</v>
      </c>
      <c r="C1236" s="5" t="s">
        <v>11</v>
      </c>
      <c r="D1236" s="5" t="s">
        <v>12</v>
      </c>
      <c r="E1236" s="5" t="s">
        <v>963</v>
      </c>
    </row>
    <row r="1237" spans="1:5" x14ac:dyDescent="0.25">
      <c r="A1237" s="5">
        <f>1229</f>
      </c>
      <c r="B1237" s="5" t="s">
        <v>1320</v>
      </c>
      <c r="C1237" s="5" t="s">
        <v>11</v>
      </c>
      <c r="D1237" s="5" t="s">
        <v>12</v>
      </c>
      <c r="E1237" s="5" t="s">
        <v>963</v>
      </c>
    </row>
    <row r="1238" spans="1:5" x14ac:dyDescent="0.25">
      <c r="A1238" s="5">
        <f>1230</f>
      </c>
      <c r="B1238" s="5" t="s">
        <v>1321</v>
      </c>
      <c r="C1238" s="5" t="s">
        <v>11</v>
      </c>
      <c r="D1238" s="5" t="s">
        <v>12</v>
      </c>
      <c r="E1238" s="5" t="s">
        <v>963</v>
      </c>
    </row>
    <row r="1239" spans="1:5" x14ac:dyDescent="0.25">
      <c r="A1239" s="5">
        <f>1231</f>
      </c>
      <c r="B1239" s="5" t="s">
        <v>1322</v>
      </c>
      <c r="C1239" s="5" t="s">
        <v>11</v>
      </c>
      <c r="D1239" s="5" t="s">
        <v>12</v>
      </c>
      <c r="E1239" s="5" t="s">
        <v>963</v>
      </c>
    </row>
    <row r="1240" spans="1:5" x14ac:dyDescent="0.25">
      <c r="A1240" s="5">
        <f>1232</f>
      </c>
      <c r="B1240" s="5" t="s">
        <v>1323</v>
      </c>
      <c r="C1240" s="5" t="s">
        <v>11</v>
      </c>
      <c r="D1240" s="5" t="s">
        <v>12</v>
      </c>
      <c r="E1240" s="5" t="s">
        <v>963</v>
      </c>
    </row>
    <row r="1241" spans="1:5" x14ac:dyDescent="0.25">
      <c r="A1241" s="5">
        <f>1233</f>
      </c>
      <c r="B1241" s="5" t="s">
        <v>1324</v>
      </c>
      <c r="C1241" s="5" t="s">
        <v>11</v>
      </c>
      <c r="D1241" s="5" t="s">
        <v>12</v>
      </c>
      <c r="E1241" s="5" t="s">
        <v>963</v>
      </c>
    </row>
    <row r="1242" spans="1:5" x14ac:dyDescent="0.25">
      <c r="A1242" s="5">
        <f>1234</f>
      </c>
      <c r="B1242" s="5" t="s">
        <v>1325</v>
      </c>
      <c r="C1242" s="5" t="s">
        <v>11</v>
      </c>
      <c r="D1242" s="5" t="s">
        <v>12</v>
      </c>
      <c r="E1242" s="5" t="s">
        <v>963</v>
      </c>
    </row>
    <row r="1243" spans="1:5" x14ac:dyDescent="0.25">
      <c r="A1243" s="5">
        <f>1235</f>
      </c>
      <c r="B1243" s="5" t="s">
        <v>1326</v>
      </c>
      <c r="C1243" s="5" t="s">
        <v>11</v>
      </c>
      <c r="D1243" s="5" t="s">
        <v>12</v>
      </c>
      <c r="E1243" s="5" t="s">
        <v>963</v>
      </c>
    </row>
    <row r="1244" spans="1:5" x14ac:dyDescent="0.25">
      <c r="A1244" s="5">
        <f>1236</f>
      </c>
      <c r="B1244" s="5" t="s">
        <v>1327</v>
      </c>
      <c r="C1244" s="5" t="s">
        <v>11</v>
      </c>
      <c r="D1244" s="5" t="s">
        <v>12</v>
      </c>
      <c r="E1244" s="5" t="s">
        <v>963</v>
      </c>
    </row>
    <row r="1245" spans="1:5" x14ac:dyDescent="0.25">
      <c r="A1245" s="5">
        <f>1237</f>
      </c>
      <c r="B1245" s="5" t="s">
        <v>1328</v>
      </c>
      <c r="C1245" s="5" t="s">
        <v>11</v>
      </c>
      <c r="D1245" s="5" t="s">
        <v>12</v>
      </c>
      <c r="E1245" s="5" t="s">
        <v>963</v>
      </c>
    </row>
    <row r="1246" spans="1:5" x14ac:dyDescent="0.25">
      <c r="A1246" s="5">
        <f>1238</f>
      </c>
      <c r="B1246" s="5" t="s">
        <v>1329</v>
      </c>
      <c r="C1246" s="5" t="s">
        <v>11</v>
      </c>
      <c r="D1246" s="5" t="s">
        <v>12</v>
      </c>
      <c r="E1246" s="5" t="s">
        <v>963</v>
      </c>
    </row>
    <row r="1247" spans="1:5" x14ac:dyDescent="0.25">
      <c r="A1247" s="5">
        <f>1239</f>
      </c>
      <c r="B1247" s="5" t="s">
        <v>1330</v>
      </c>
      <c r="C1247" s="5" t="s">
        <v>11</v>
      </c>
      <c r="D1247" s="5" t="s">
        <v>12</v>
      </c>
      <c r="E1247" s="5" t="s">
        <v>963</v>
      </c>
    </row>
    <row r="1248" spans="1:5" x14ac:dyDescent="0.25">
      <c r="A1248" s="5">
        <f>1240</f>
      </c>
      <c r="B1248" s="5" t="s">
        <v>1331</v>
      </c>
      <c r="C1248" s="5" t="s">
        <v>11</v>
      </c>
      <c r="D1248" s="5" t="s">
        <v>12</v>
      </c>
      <c r="E1248" s="5" t="s">
        <v>963</v>
      </c>
    </row>
    <row r="1249" spans="1:5" x14ac:dyDescent="0.25">
      <c r="A1249" s="5">
        <f>1241</f>
      </c>
      <c r="B1249" s="5" t="s">
        <v>1332</v>
      </c>
      <c r="C1249" s="5" t="s">
        <v>11</v>
      </c>
      <c r="D1249" s="5" t="s">
        <v>12</v>
      </c>
      <c r="E1249" s="5" t="s">
        <v>963</v>
      </c>
    </row>
    <row r="1250" spans="1:5" x14ac:dyDescent="0.25">
      <c r="A1250" s="5">
        <f>1242</f>
      </c>
      <c r="B1250" s="5" t="s">
        <v>1333</v>
      </c>
      <c r="C1250" s="5" t="s">
        <v>11</v>
      </c>
      <c r="D1250" s="5" t="s">
        <v>12</v>
      </c>
      <c r="E1250" s="5" t="s">
        <v>963</v>
      </c>
    </row>
    <row r="1251" spans="1:5" x14ac:dyDescent="0.25">
      <c r="A1251" s="5">
        <f>1243</f>
      </c>
      <c r="B1251" s="5" t="s">
        <v>1334</v>
      </c>
      <c r="C1251" s="5" t="s">
        <v>11</v>
      </c>
      <c r="D1251" s="5" t="s">
        <v>12</v>
      </c>
      <c r="E1251" s="5" t="s">
        <v>963</v>
      </c>
    </row>
    <row r="1252" spans="1:5" x14ac:dyDescent="0.25">
      <c r="A1252" s="5">
        <f>1244</f>
      </c>
      <c r="B1252" s="5" t="s">
        <v>1335</v>
      </c>
      <c r="C1252" s="5" t="s">
        <v>11</v>
      </c>
      <c r="D1252" s="5" t="s">
        <v>12</v>
      </c>
      <c r="E1252" s="5" t="s">
        <v>963</v>
      </c>
    </row>
    <row r="1253" spans="1:5" x14ac:dyDescent="0.25">
      <c r="A1253" s="5">
        <f>1245</f>
      </c>
      <c r="B1253" s="5" t="s">
        <v>1336</v>
      </c>
      <c r="C1253" s="5" t="s">
        <v>11</v>
      </c>
      <c r="D1253" s="5" t="s">
        <v>12</v>
      </c>
      <c r="E1253" s="5" t="s">
        <v>963</v>
      </c>
    </row>
    <row r="1254" spans="1:5" x14ac:dyDescent="0.25">
      <c r="A1254" s="5">
        <f>1246</f>
      </c>
      <c r="B1254" s="5" t="s">
        <v>1337</v>
      </c>
      <c r="C1254" s="5" t="s">
        <v>11</v>
      </c>
      <c r="D1254" s="5" t="s">
        <v>12</v>
      </c>
      <c r="E1254" s="5" t="s">
        <v>963</v>
      </c>
    </row>
    <row r="1255" spans="1:5" x14ac:dyDescent="0.25">
      <c r="A1255" s="5">
        <f>1247</f>
      </c>
      <c r="B1255" s="5" t="s">
        <v>1338</v>
      </c>
      <c r="C1255" s="5" t="s">
        <v>11</v>
      </c>
      <c r="D1255" s="5" t="s">
        <v>12</v>
      </c>
      <c r="E1255" s="5" t="s">
        <v>963</v>
      </c>
    </row>
    <row r="1256" spans="1:5" x14ac:dyDescent="0.25">
      <c r="A1256" s="5">
        <f>1248</f>
      </c>
      <c r="B1256" s="5" t="s">
        <v>1339</v>
      </c>
      <c r="C1256" s="5" t="s">
        <v>11</v>
      </c>
      <c r="D1256" s="5" t="s">
        <v>12</v>
      </c>
      <c r="E1256" s="5" t="s">
        <v>963</v>
      </c>
    </row>
    <row r="1257" spans="1:5" x14ac:dyDescent="0.25">
      <c r="A1257" s="5">
        <f>1249</f>
      </c>
      <c r="B1257" s="5" t="s">
        <v>1340</v>
      </c>
      <c r="C1257" s="5" t="s">
        <v>11</v>
      </c>
      <c r="D1257" s="5" t="s">
        <v>12</v>
      </c>
      <c r="E1257" s="5" t="s">
        <v>963</v>
      </c>
    </row>
    <row r="1258" spans="1:5" x14ac:dyDescent="0.25">
      <c r="A1258" s="5">
        <f>1250</f>
      </c>
      <c r="B1258" s="5" t="s">
        <v>1341</v>
      </c>
      <c r="C1258" s="5" t="s">
        <v>11</v>
      </c>
      <c r="D1258" s="5" t="s">
        <v>12</v>
      </c>
      <c r="E1258" s="5" t="s">
        <v>963</v>
      </c>
    </row>
    <row r="1259" spans="1:5" x14ac:dyDescent="0.25">
      <c r="A1259" s="5">
        <f>1251</f>
      </c>
      <c r="B1259" s="5" t="s">
        <v>1342</v>
      </c>
      <c r="C1259" s="5" t="s">
        <v>11</v>
      </c>
      <c r="D1259" s="5" t="s">
        <v>12</v>
      </c>
      <c r="E1259" s="5" t="s">
        <v>963</v>
      </c>
    </row>
    <row r="1260" spans="1:5" x14ac:dyDescent="0.25">
      <c r="A1260" s="5">
        <f>1252</f>
      </c>
      <c r="B1260" s="5" t="s">
        <v>1343</v>
      </c>
      <c r="C1260" s="5" t="s">
        <v>11</v>
      </c>
      <c r="D1260" s="5" t="s">
        <v>12</v>
      </c>
      <c r="E1260" s="5" t="s">
        <v>963</v>
      </c>
    </row>
    <row r="1261" spans="1:5" x14ac:dyDescent="0.25">
      <c r="A1261" s="5">
        <f>1253</f>
      </c>
      <c r="B1261" s="5" t="s">
        <v>1344</v>
      </c>
      <c r="C1261" s="5" t="s">
        <v>11</v>
      </c>
      <c r="D1261" s="5" t="s">
        <v>12</v>
      </c>
      <c r="E1261" s="5" t="s">
        <v>963</v>
      </c>
    </row>
    <row r="1262" spans="1:5" x14ac:dyDescent="0.25">
      <c r="A1262" s="5">
        <f>1254</f>
      </c>
      <c r="B1262" s="5" t="s">
        <v>1345</v>
      </c>
      <c r="C1262" s="5" t="s">
        <v>11</v>
      </c>
      <c r="D1262" s="5" t="s">
        <v>12</v>
      </c>
      <c r="E1262" s="5" t="s">
        <v>963</v>
      </c>
    </row>
    <row r="1263" spans="1:5" x14ac:dyDescent="0.25">
      <c r="A1263" s="5">
        <f>1255</f>
      </c>
      <c r="B1263" s="5" t="s">
        <v>1346</v>
      </c>
      <c r="C1263" s="5" t="s">
        <v>11</v>
      </c>
      <c r="D1263" s="5" t="s">
        <v>12</v>
      </c>
      <c r="E1263" s="5" t="s">
        <v>963</v>
      </c>
    </row>
    <row r="1264" spans="1:5" x14ac:dyDescent="0.25">
      <c r="A1264" s="5">
        <f>1256</f>
      </c>
      <c r="B1264" s="5" t="s">
        <v>1347</v>
      </c>
      <c r="C1264" s="5" t="s">
        <v>11</v>
      </c>
      <c r="D1264" s="5" t="s">
        <v>12</v>
      </c>
      <c r="E1264" s="5" t="s">
        <v>963</v>
      </c>
    </row>
    <row r="1265" spans="1:5" x14ac:dyDescent="0.25">
      <c r="A1265" s="5">
        <f>1257</f>
      </c>
      <c r="B1265" s="5" t="s">
        <v>1348</v>
      </c>
      <c r="C1265" s="5" t="s">
        <v>11</v>
      </c>
      <c r="D1265" s="5" t="s">
        <v>12</v>
      </c>
      <c r="E1265" s="5" t="s">
        <v>963</v>
      </c>
    </row>
    <row r="1266" spans="1:5" x14ac:dyDescent="0.25">
      <c r="A1266" s="5">
        <f>1258</f>
      </c>
      <c r="B1266" s="5" t="s">
        <v>1349</v>
      </c>
      <c r="C1266" s="5" t="s">
        <v>11</v>
      </c>
      <c r="D1266" s="5" t="s">
        <v>12</v>
      </c>
      <c r="E1266" s="5" t="s">
        <v>963</v>
      </c>
    </row>
    <row r="1267" spans="1:5" x14ac:dyDescent="0.25">
      <c r="A1267" s="5">
        <f>1259</f>
      </c>
      <c r="B1267" s="5" t="s">
        <v>1350</v>
      </c>
      <c r="C1267" s="5" t="s">
        <v>11</v>
      </c>
      <c r="D1267" s="5" t="s">
        <v>12</v>
      </c>
      <c r="E1267" s="5" t="s">
        <v>963</v>
      </c>
    </row>
    <row r="1268" spans="1:5" x14ac:dyDescent="0.25">
      <c r="A1268" s="5">
        <f>1260</f>
      </c>
      <c r="B1268" s="5" t="s">
        <v>1351</v>
      </c>
      <c r="C1268" s="5" t="s">
        <v>11</v>
      </c>
      <c r="D1268" s="5" t="s">
        <v>12</v>
      </c>
      <c r="E1268" s="5" t="s">
        <v>963</v>
      </c>
    </row>
    <row r="1269" spans="1:5" x14ac:dyDescent="0.25">
      <c r="A1269" s="5">
        <f>1261</f>
      </c>
      <c r="B1269" s="5" t="s">
        <v>1352</v>
      </c>
      <c r="C1269" s="5" t="s">
        <v>11</v>
      </c>
      <c r="D1269" s="5" t="s">
        <v>12</v>
      </c>
      <c r="E1269" s="5" t="s">
        <v>963</v>
      </c>
    </row>
    <row r="1270" spans="1:5" x14ac:dyDescent="0.25">
      <c r="A1270" s="5">
        <f>1262</f>
      </c>
      <c r="B1270" s="5" t="s">
        <v>1353</v>
      </c>
      <c r="C1270" s="5" t="s">
        <v>11</v>
      </c>
      <c r="D1270" s="5" t="s">
        <v>12</v>
      </c>
      <c r="E1270" s="5" t="s">
        <v>963</v>
      </c>
    </row>
    <row r="1271" spans="1:5" x14ac:dyDescent="0.25">
      <c r="A1271" s="5">
        <f>1263</f>
      </c>
      <c r="B1271" s="5" t="s">
        <v>1354</v>
      </c>
      <c r="C1271" s="5" t="s">
        <v>11</v>
      </c>
      <c r="D1271" s="5" t="s">
        <v>12</v>
      </c>
      <c r="E1271" s="5" t="s">
        <v>963</v>
      </c>
    </row>
    <row r="1272" spans="1:5" x14ac:dyDescent="0.25">
      <c r="A1272" s="5">
        <f>1264</f>
      </c>
      <c r="B1272" s="5" t="s">
        <v>1355</v>
      </c>
      <c r="C1272" s="5" t="s">
        <v>11</v>
      </c>
      <c r="D1272" s="5" t="s">
        <v>12</v>
      </c>
      <c r="E1272" s="5" t="s">
        <v>963</v>
      </c>
    </row>
    <row r="1273" spans="1:5" x14ac:dyDescent="0.25">
      <c r="A1273" s="5">
        <f>1265</f>
      </c>
      <c r="B1273" s="5" t="s">
        <v>1356</v>
      </c>
      <c r="C1273" s="5" t="s">
        <v>11</v>
      </c>
      <c r="D1273" s="5" t="s">
        <v>12</v>
      </c>
      <c r="E1273" s="5" t="s">
        <v>963</v>
      </c>
    </row>
    <row r="1274" spans="1:5" x14ac:dyDescent="0.25">
      <c r="A1274" s="5">
        <f>1266</f>
      </c>
      <c r="B1274" s="5" t="s">
        <v>1357</v>
      </c>
      <c r="C1274" s="5" t="s">
        <v>11</v>
      </c>
      <c r="D1274" s="5" t="s">
        <v>12</v>
      </c>
      <c r="E1274" s="5" t="s">
        <v>963</v>
      </c>
    </row>
    <row r="1275" spans="1:5" x14ac:dyDescent="0.25">
      <c r="A1275" s="5">
        <f>1267</f>
      </c>
      <c r="B1275" s="5" t="s">
        <v>1358</v>
      </c>
      <c r="C1275" s="5" t="s">
        <v>11</v>
      </c>
      <c r="D1275" s="5" t="s">
        <v>12</v>
      </c>
      <c r="E1275" s="5" t="s">
        <v>963</v>
      </c>
    </row>
    <row r="1276" spans="1:5" x14ac:dyDescent="0.25">
      <c r="A1276" s="5">
        <f>1268</f>
      </c>
      <c r="B1276" s="5" t="s">
        <v>1359</v>
      </c>
      <c r="C1276" s="5" t="s">
        <v>11</v>
      </c>
      <c r="D1276" s="5" t="s">
        <v>12</v>
      </c>
      <c r="E1276" s="5" t="s">
        <v>963</v>
      </c>
    </row>
    <row r="1277" spans="1:5" x14ac:dyDescent="0.25">
      <c r="A1277" s="5">
        <f>1269</f>
      </c>
      <c r="B1277" s="5" t="s">
        <v>1360</v>
      </c>
      <c r="C1277" s="5" t="s">
        <v>11</v>
      </c>
      <c r="D1277" s="5" t="s">
        <v>12</v>
      </c>
      <c r="E1277" s="5" t="s">
        <v>963</v>
      </c>
    </row>
    <row r="1278" spans="1:5" x14ac:dyDescent="0.25">
      <c r="A1278" s="5">
        <f>1270</f>
      </c>
      <c r="B1278" s="5" t="s">
        <v>1361</v>
      </c>
      <c r="C1278" s="5" t="s">
        <v>11</v>
      </c>
      <c r="D1278" s="5" t="s">
        <v>12</v>
      </c>
      <c r="E1278" s="5" t="s">
        <v>963</v>
      </c>
    </row>
    <row r="1279" spans="1:5" x14ac:dyDescent="0.25">
      <c r="A1279" s="5">
        <f>1271</f>
      </c>
      <c r="B1279" s="5" t="s">
        <v>1362</v>
      </c>
      <c r="C1279" s="5" t="s">
        <v>11</v>
      </c>
      <c r="D1279" s="5" t="s">
        <v>12</v>
      </c>
      <c r="E1279" s="5" t="s">
        <v>963</v>
      </c>
    </row>
    <row r="1280" spans="1:5" x14ac:dyDescent="0.25">
      <c r="A1280" s="5">
        <f>1272</f>
      </c>
      <c r="B1280" s="5" t="s">
        <v>1363</v>
      </c>
      <c r="C1280" s="5" t="s">
        <v>11</v>
      </c>
      <c r="D1280" s="5" t="s">
        <v>12</v>
      </c>
      <c r="E1280" s="5" t="s">
        <v>963</v>
      </c>
    </row>
    <row r="1281" spans="1:5" x14ac:dyDescent="0.25">
      <c r="A1281" s="5">
        <f>1273</f>
      </c>
      <c r="B1281" s="5" t="s">
        <v>1364</v>
      </c>
      <c r="C1281" s="5" t="s">
        <v>11</v>
      </c>
      <c r="D1281" s="5" t="s">
        <v>12</v>
      </c>
      <c r="E1281" s="5" t="s">
        <v>963</v>
      </c>
    </row>
    <row r="1282" spans="1:5" x14ac:dyDescent="0.25">
      <c r="A1282" s="5">
        <f>1274</f>
      </c>
      <c r="B1282" s="5" t="s">
        <v>1365</v>
      </c>
      <c r="C1282" s="5" t="s">
        <v>11</v>
      </c>
      <c r="D1282" s="5" t="s">
        <v>12</v>
      </c>
      <c r="E1282" s="5" t="s">
        <v>963</v>
      </c>
    </row>
    <row r="1283" spans="1:5" x14ac:dyDescent="0.25">
      <c r="A1283" s="5">
        <f>1275</f>
      </c>
      <c r="B1283" s="5" t="s">
        <v>1366</v>
      </c>
      <c r="C1283" s="5" t="s">
        <v>11</v>
      </c>
      <c r="D1283" s="5" t="s">
        <v>12</v>
      </c>
      <c r="E1283" s="5" t="s">
        <v>963</v>
      </c>
    </row>
    <row r="1284" spans="1:5" x14ac:dyDescent="0.25">
      <c r="A1284" s="5">
        <f>1276</f>
      </c>
      <c r="B1284" s="5" t="s">
        <v>1367</v>
      </c>
      <c r="C1284" s="5" t="s">
        <v>11</v>
      </c>
      <c r="D1284" s="5" t="s">
        <v>12</v>
      </c>
      <c r="E1284" s="5" t="s">
        <v>963</v>
      </c>
    </row>
    <row r="1285" spans="1:5" x14ac:dyDescent="0.25">
      <c r="A1285" s="5">
        <f>1277</f>
      </c>
      <c r="B1285" s="5" t="s">
        <v>1368</v>
      </c>
      <c r="C1285" s="5" t="s">
        <v>11</v>
      </c>
      <c r="D1285" s="5" t="s">
        <v>12</v>
      </c>
      <c r="E1285" s="5" t="s">
        <v>963</v>
      </c>
    </row>
    <row r="1286" spans="1:5" x14ac:dyDescent="0.25">
      <c r="A1286" s="5">
        <f>1278</f>
      </c>
      <c r="B1286" s="5" t="s">
        <v>1369</v>
      </c>
      <c r="C1286" s="5" t="s">
        <v>11</v>
      </c>
      <c r="D1286" s="5" t="s">
        <v>12</v>
      </c>
      <c r="E1286" s="5" t="s">
        <v>963</v>
      </c>
    </row>
    <row r="1287" spans="1:5" x14ac:dyDescent="0.25">
      <c r="A1287" s="5">
        <f>1279</f>
      </c>
      <c r="B1287" s="5" t="s">
        <v>1370</v>
      </c>
      <c r="C1287" s="5" t="s">
        <v>11</v>
      </c>
      <c r="D1287" s="5" t="s">
        <v>12</v>
      </c>
      <c r="E1287" s="5" t="s">
        <v>963</v>
      </c>
    </row>
    <row r="1288" spans="1:5" x14ac:dyDescent="0.25">
      <c r="A1288" s="5">
        <f>1280</f>
      </c>
      <c r="B1288" s="5" t="s">
        <v>1371</v>
      </c>
      <c r="C1288" s="5" t="s">
        <v>11</v>
      </c>
      <c r="D1288" s="5" t="s">
        <v>12</v>
      </c>
      <c r="E1288" s="5" t="s">
        <v>963</v>
      </c>
    </row>
    <row r="1289" spans="1:5" x14ac:dyDescent="0.25">
      <c r="A1289" s="5">
        <f>1281</f>
      </c>
      <c r="B1289" s="5" t="s">
        <v>1372</v>
      </c>
      <c r="C1289" s="5" t="s">
        <v>11</v>
      </c>
      <c r="D1289" s="5" t="s">
        <v>12</v>
      </c>
      <c r="E1289" s="5" t="s">
        <v>963</v>
      </c>
    </row>
    <row r="1290" spans="1:5" x14ac:dyDescent="0.25">
      <c r="A1290" s="5">
        <f>1282</f>
      </c>
      <c r="B1290" s="5" t="s">
        <v>1373</v>
      </c>
      <c r="C1290" s="5" t="s">
        <v>11</v>
      </c>
      <c r="D1290" s="5" t="s">
        <v>12</v>
      </c>
      <c r="E1290" s="5" t="s">
        <v>963</v>
      </c>
    </row>
    <row r="1291" spans="1:5" x14ac:dyDescent="0.25">
      <c r="A1291" s="5">
        <f>1283</f>
      </c>
      <c r="B1291" s="5" t="s">
        <v>1374</v>
      </c>
      <c r="C1291" s="5" t="s">
        <v>11</v>
      </c>
      <c r="D1291" s="5" t="s">
        <v>12</v>
      </c>
      <c r="E1291" s="5" t="s">
        <v>963</v>
      </c>
    </row>
    <row r="1292" spans="1:5" x14ac:dyDescent="0.25">
      <c r="A1292" s="5">
        <f>1284</f>
      </c>
      <c r="B1292" s="5" t="s">
        <v>1375</v>
      </c>
      <c r="C1292" s="5" t="s">
        <v>11</v>
      </c>
      <c r="D1292" s="5" t="s">
        <v>12</v>
      </c>
      <c r="E1292" s="5" t="s">
        <v>963</v>
      </c>
    </row>
    <row r="1293" spans="1:5" x14ac:dyDescent="0.25">
      <c r="A1293" s="5">
        <f>1285</f>
      </c>
      <c r="B1293" s="5" t="s">
        <v>1376</v>
      </c>
      <c r="C1293" s="5" t="s">
        <v>11</v>
      </c>
      <c r="D1293" s="5" t="s">
        <v>12</v>
      </c>
      <c r="E1293" s="5" t="s">
        <v>963</v>
      </c>
    </row>
    <row r="1294" spans="1:5" x14ac:dyDescent="0.25">
      <c r="A1294" s="5">
        <f>1286</f>
      </c>
      <c r="B1294" s="5" t="s">
        <v>1377</v>
      </c>
      <c r="C1294" s="5" t="s">
        <v>11</v>
      </c>
      <c r="D1294" s="5" t="s">
        <v>12</v>
      </c>
      <c r="E1294" s="5" t="s">
        <v>963</v>
      </c>
    </row>
    <row r="1295" spans="1:5" x14ac:dyDescent="0.25">
      <c r="A1295" s="5">
        <f>1287</f>
      </c>
      <c r="B1295" s="5" t="s">
        <v>1378</v>
      </c>
      <c r="C1295" s="5" t="s">
        <v>11</v>
      </c>
      <c r="D1295" s="5" t="s">
        <v>12</v>
      </c>
      <c r="E1295" s="5" t="s">
        <v>963</v>
      </c>
    </row>
    <row r="1296" spans="1:5" x14ac:dyDescent="0.25">
      <c r="A1296" s="5">
        <f>1288</f>
      </c>
      <c r="B1296" s="5" t="s">
        <v>1379</v>
      </c>
      <c r="C1296" s="5" t="s">
        <v>11</v>
      </c>
      <c r="D1296" s="5" t="s">
        <v>12</v>
      </c>
      <c r="E1296" s="5" t="s">
        <v>963</v>
      </c>
    </row>
    <row r="1297" spans="1:5" x14ac:dyDescent="0.25">
      <c r="A1297" s="5">
        <f>1289</f>
      </c>
      <c r="B1297" s="5" t="s">
        <v>1380</v>
      </c>
      <c r="C1297" s="5" t="s">
        <v>11</v>
      </c>
      <c r="D1297" s="5" t="s">
        <v>12</v>
      </c>
      <c r="E1297" s="5" t="s">
        <v>963</v>
      </c>
    </row>
    <row r="1298" spans="1:5" x14ac:dyDescent="0.25">
      <c r="A1298" s="5">
        <f>1290</f>
      </c>
      <c r="B1298" s="5" t="s">
        <v>1381</v>
      </c>
      <c r="C1298" s="5" t="s">
        <v>11</v>
      </c>
      <c r="D1298" s="5" t="s">
        <v>12</v>
      </c>
      <c r="E1298" s="5" t="s">
        <v>963</v>
      </c>
    </row>
    <row r="1299" spans="1:5" x14ac:dyDescent="0.25">
      <c r="A1299" s="5">
        <f>1291</f>
      </c>
      <c r="B1299" s="5" t="s">
        <v>1382</v>
      </c>
      <c r="C1299" s="5" t="s">
        <v>11</v>
      </c>
      <c r="D1299" s="5" t="s">
        <v>12</v>
      </c>
      <c r="E1299" s="5" t="s">
        <v>963</v>
      </c>
    </row>
    <row r="1300" spans="1:5" x14ac:dyDescent="0.25">
      <c r="A1300" s="5">
        <f>1292</f>
      </c>
      <c r="B1300" s="5" t="s">
        <v>1383</v>
      </c>
      <c r="C1300" s="5" t="s">
        <v>11</v>
      </c>
      <c r="D1300" s="5" t="s">
        <v>12</v>
      </c>
      <c r="E1300" s="5" t="s">
        <v>963</v>
      </c>
    </row>
    <row r="1301" spans="1:5" x14ac:dyDescent="0.25">
      <c r="A1301" s="5">
        <f>1293</f>
      </c>
      <c r="B1301" s="5" t="s">
        <v>1384</v>
      </c>
      <c r="C1301" s="5" t="s">
        <v>11</v>
      </c>
      <c r="D1301" s="5" t="s">
        <v>12</v>
      </c>
      <c r="E1301" s="5" t="s">
        <v>963</v>
      </c>
    </row>
    <row r="1302" spans="1:5" x14ac:dyDescent="0.25">
      <c r="A1302" s="5">
        <f>1294</f>
      </c>
      <c r="B1302" s="5" t="s">
        <v>1385</v>
      </c>
      <c r="C1302" s="5" t="s">
        <v>11</v>
      </c>
      <c r="D1302" s="5" t="s">
        <v>12</v>
      </c>
      <c r="E1302" s="5" t="s">
        <v>963</v>
      </c>
    </row>
    <row r="1303" spans="1:5" x14ac:dyDescent="0.25">
      <c r="A1303" s="5">
        <f>1295</f>
      </c>
      <c r="B1303" s="5" t="s">
        <v>1386</v>
      </c>
      <c r="C1303" s="5" t="s">
        <v>11</v>
      </c>
      <c r="D1303" s="5" t="s">
        <v>12</v>
      </c>
      <c r="E1303" s="5" t="s">
        <v>963</v>
      </c>
    </row>
    <row r="1304" spans="1:5" x14ac:dyDescent="0.25">
      <c r="A1304" s="5">
        <f>1296</f>
      </c>
      <c r="B1304" s="5" t="s">
        <v>1387</v>
      </c>
      <c r="C1304" s="5" t="s">
        <v>11</v>
      </c>
      <c r="D1304" s="5" t="s">
        <v>12</v>
      </c>
      <c r="E1304" s="5" t="s">
        <v>963</v>
      </c>
    </row>
    <row r="1305" spans="1:5" x14ac:dyDescent="0.25">
      <c r="A1305" s="5">
        <f>1297</f>
      </c>
      <c r="B1305" s="5" t="s">
        <v>1388</v>
      </c>
      <c r="C1305" s="5" t="s">
        <v>11</v>
      </c>
      <c r="D1305" s="5" t="s">
        <v>12</v>
      </c>
      <c r="E1305" s="5" t="s">
        <v>963</v>
      </c>
    </row>
    <row r="1306" spans="1:5" x14ac:dyDescent="0.25">
      <c r="A1306" s="5">
        <f>1298</f>
      </c>
      <c r="B1306" s="5" t="s">
        <v>1389</v>
      </c>
      <c r="C1306" s="5" t="s">
        <v>11</v>
      </c>
      <c r="D1306" s="5" t="s">
        <v>12</v>
      </c>
      <c r="E1306" s="5" t="s">
        <v>963</v>
      </c>
    </row>
    <row r="1307" spans="1:5" x14ac:dyDescent="0.25">
      <c r="A1307" s="5">
        <f>1299</f>
      </c>
      <c r="B1307" s="5" t="s">
        <v>1390</v>
      </c>
      <c r="C1307" s="5" t="s">
        <v>11</v>
      </c>
      <c r="D1307" s="5" t="s">
        <v>12</v>
      </c>
      <c r="E1307" s="5" t="s">
        <v>963</v>
      </c>
    </row>
    <row r="1308" spans="1:5" x14ac:dyDescent="0.25">
      <c r="A1308" s="5">
        <f>1300</f>
      </c>
      <c r="B1308" s="5" t="s">
        <v>1391</v>
      </c>
      <c r="C1308" s="5" t="s">
        <v>11</v>
      </c>
      <c r="D1308" s="5" t="s">
        <v>12</v>
      </c>
      <c r="E1308" s="5" t="s">
        <v>963</v>
      </c>
    </row>
    <row r="1309" spans="1:5" x14ac:dyDescent="0.25">
      <c r="A1309" s="5">
        <f>1301</f>
      </c>
      <c r="B1309" s="5" t="s">
        <v>1392</v>
      </c>
      <c r="C1309" s="5" t="s">
        <v>11</v>
      </c>
      <c r="D1309" s="5" t="s">
        <v>12</v>
      </c>
      <c r="E1309" s="5" t="s">
        <v>963</v>
      </c>
    </row>
    <row r="1310" spans="1:5" x14ac:dyDescent="0.25">
      <c r="A1310" s="5">
        <f>1302</f>
      </c>
      <c r="B1310" s="5" t="s">
        <v>1393</v>
      </c>
      <c r="C1310" s="5" t="s">
        <v>11</v>
      </c>
      <c r="D1310" s="5" t="s">
        <v>12</v>
      </c>
      <c r="E1310" s="5" t="s">
        <v>963</v>
      </c>
    </row>
    <row r="1311" spans="1:5" x14ac:dyDescent="0.25">
      <c r="A1311" s="5">
        <f>1303</f>
      </c>
      <c r="B1311" s="5" t="s">
        <v>1394</v>
      </c>
      <c r="C1311" s="5" t="s">
        <v>11</v>
      </c>
      <c r="D1311" s="5" t="s">
        <v>12</v>
      </c>
      <c r="E1311" s="5" t="s">
        <v>963</v>
      </c>
    </row>
    <row r="1312" spans="1:5" x14ac:dyDescent="0.25">
      <c r="A1312" s="5">
        <f>1304</f>
      </c>
      <c r="B1312" s="5" t="s">
        <v>1395</v>
      </c>
      <c r="C1312" s="5" t="s">
        <v>11</v>
      </c>
      <c r="D1312" s="5" t="s">
        <v>12</v>
      </c>
      <c r="E1312" s="5" t="s">
        <v>963</v>
      </c>
    </row>
    <row r="1313" spans="1:5" x14ac:dyDescent="0.25">
      <c r="A1313" s="5">
        <f>1305</f>
      </c>
      <c r="B1313" s="5" t="s">
        <v>1396</v>
      </c>
      <c r="C1313" s="5" t="s">
        <v>11</v>
      </c>
      <c r="D1313" s="5" t="s">
        <v>12</v>
      </c>
      <c r="E1313" s="5" t="s">
        <v>963</v>
      </c>
    </row>
    <row r="1314" spans="1:5" x14ac:dyDescent="0.25">
      <c r="A1314" s="5">
        <f>1306</f>
      </c>
      <c r="B1314" s="5" t="s">
        <v>1397</v>
      </c>
      <c r="C1314" s="5" t="s">
        <v>11</v>
      </c>
      <c r="D1314" s="5" t="s">
        <v>12</v>
      </c>
      <c r="E1314" s="5" t="s">
        <v>963</v>
      </c>
    </row>
    <row r="1315" spans="1:5" x14ac:dyDescent="0.25">
      <c r="A1315" s="5">
        <f>1307</f>
      </c>
      <c r="B1315" s="5" t="s">
        <v>1398</v>
      </c>
      <c r="C1315" s="5" t="s">
        <v>11</v>
      </c>
      <c r="D1315" s="5" t="s">
        <v>12</v>
      </c>
      <c r="E1315" s="5" t="s">
        <v>963</v>
      </c>
    </row>
    <row r="1316" spans="1:5" x14ac:dyDescent="0.25">
      <c r="A1316" s="5">
        <f>1308</f>
      </c>
      <c r="B1316" s="5" t="s">
        <v>1399</v>
      </c>
      <c r="C1316" s="5" t="s">
        <v>11</v>
      </c>
      <c r="D1316" s="5" t="s">
        <v>12</v>
      </c>
      <c r="E1316" s="5" t="s">
        <v>963</v>
      </c>
    </row>
    <row r="1317" spans="1:5" x14ac:dyDescent="0.25">
      <c r="A1317" s="5">
        <f>1309</f>
      </c>
      <c r="B1317" s="5" t="s">
        <v>1400</v>
      </c>
      <c r="C1317" s="5" t="s">
        <v>11</v>
      </c>
      <c r="D1317" s="5" t="s">
        <v>12</v>
      </c>
      <c r="E1317" s="5" t="s">
        <v>963</v>
      </c>
    </row>
    <row r="1318" spans="1:5" x14ac:dyDescent="0.25">
      <c r="A1318" s="5">
        <f>1310</f>
      </c>
      <c r="B1318" s="5" t="s">
        <v>1401</v>
      </c>
      <c r="C1318" s="5" t="s">
        <v>11</v>
      </c>
      <c r="D1318" s="5" t="s">
        <v>12</v>
      </c>
      <c r="E1318" s="5" t="s">
        <v>963</v>
      </c>
    </row>
    <row r="1319" spans="1:5" x14ac:dyDescent="0.25">
      <c r="A1319" s="5">
        <f>1311</f>
      </c>
      <c r="B1319" s="5" t="s">
        <v>1402</v>
      </c>
      <c r="C1319" s="5" t="s">
        <v>11</v>
      </c>
      <c r="D1319" s="5" t="s">
        <v>12</v>
      </c>
      <c r="E1319" s="5" t="s">
        <v>963</v>
      </c>
    </row>
    <row r="1320" spans="1:5" x14ac:dyDescent="0.25">
      <c r="A1320" s="5">
        <f>1312</f>
      </c>
      <c r="B1320" s="5" t="s">
        <v>1403</v>
      </c>
      <c r="C1320" s="5" t="s">
        <v>11</v>
      </c>
      <c r="D1320" s="5" t="s">
        <v>12</v>
      </c>
      <c r="E1320" s="5" t="s">
        <v>963</v>
      </c>
    </row>
    <row r="1321" spans="1:5" x14ac:dyDescent="0.25">
      <c r="A1321" s="5">
        <f>1313</f>
      </c>
      <c r="B1321" s="5" t="s">
        <v>1404</v>
      </c>
      <c r="C1321" s="5" t="s">
        <v>11</v>
      </c>
      <c r="D1321" s="5" t="s">
        <v>12</v>
      </c>
      <c r="E1321" s="5" t="s">
        <v>963</v>
      </c>
    </row>
    <row r="1322" spans="1:5" x14ac:dyDescent="0.25">
      <c r="A1322" s="5">
        <f>1314</f>
      </c>
      <c r="B1322" s="5" t="s">
        <v>1405</v>
      </c>
      <c r="C1322" s="5" t="s">
        <v>11</v>
      </c>
      <c r="D1322" s="5" t="s">
        <v>12</v>
      </c>
      <c r="E1322" s="5" t="s">
        <v>963</v>
      </c>
    </row>
    <row r="1323" spans="1:5" x14ac:dyDescent="0.25">
      <c r="A1323" s="5">
        <f>1315</f>
      </c>
      <c r="B1323" s="5" t="s">
        <v>1406</v>
      </c>
      <c r="C1323" s="5" t="s">
        <v>11</v>
      </c>
      <c r="D1323" s="5" t="s">
        <v>12</v>
      </c>
      <c r="E1323" s="5" t="s">
        <v>963</v>
      </c>
    </row>
    <row r="1324" spans="1:5" x14ac:dyDescent="0.25">
      <c r="A1324" s="5">
        <f>1316</f>
      </c>
      <c r="B1324" s="5" t="s">
        <v>1407</v>
      </c>
      <c r="C1324" s="5" t="s">
        <v>11</v>
      </c>
      <c r="D1324" s="5" t="s">
        <v>12</v>
      </c>
      <c r="E1324" s="5" t="s">
        <v>963</v>
      </c>
    </row>
    <row r="1325" spans="1:5" x14ac:dyDescent="0.25">
      <c r="A1325" s="5">
        <f>1317</f>
      </c>
      <c r="B1325" s="5" t="s">
        <v>1408</v>
      </c>
      <c r="C1325" s="5" t="s">
        <v>11</v>
      </c>
      <c r="D1325" s="5" t="s">
        <v>12</v>
      </c>
      <c r="E1325" s="5" t="s">
        <v>963</v>
      </c>
    </row>
    <row r="1326" spans="1:5" x14ac:dyDescent="0.25">
      <c r="A1326" s="5">
        <f>1318</f>
      </c>
      <c r="B1326" s="5" t="s">
        <v>1409</v>
      </c>
      <c r="C1326" s="5" t="s">
        <v>11</v>
      </c>
      <c r="D1326" s="5" t="s">
        <v>12</v>
      </c>
      <c r="E1326" s="5" t="s">
        <v>963</v>
      </c>
    </row>
    <row r="1327" spans="1:5" x14ac:dyDescent="0.25">
      <c r="A1327" s="5">
        <f>1319</f>
      </c>
      <c r="B1327" s="5" t="s">
        <v>1410</v>
      </c>
      <c r="C1327" s="5" t="s">
        <v>11</v>
      </c>
      <c r="D1327" s="5" t="s">
        <v>12</v>
      </c>
      <c r="E1327" s="5" t="s">
        <v>963</v>
      </c>
    </row>
    <row r="1328" spans="1:5" x14ac:dyDescent="0.25">
      <c r="A1328" s="5">
        <f>1320</f>
      </c>
      <c r="B1328" s="5" t="s">
        <v>1411</v>
      </c>
      <c r="C1328" s="5" t="s">
        <v>11</v>
      </c>
      <c r="D1328" s="5" t="s">
        <v>12</v>
      </c>
      <c r="E1328" s="5" t="s">
        <v>963</v>
      </c>
    </row>
    <row r="1329" spans="1:5" x14ac:dyDescent="0.25">
      <c r="A1329" s="5">
        <f>1321</f>
      </c>
      <c r="B1329" s="5" t="s">
        <v>1412</v>
      </c>
      <c r="C1329" s="5" t="s">
        <v>11</v>
      </c>
      <c r="D1329" s="5" t="s">
        <v>12</v>
      </c>
      <c r="E1329" s="5" t="s">
        <v>963</v>
      </c>
    </row>
    <row r="1330" spans="1:5" x14ac:dyDescent="0.25">
      <c r="A1330" s="5">
        <f>1322</f>
      </c>
      <c r="B1330" s="5" t="s">
        <v>1413</v>
      </c>
      <c r="C1330" s="5" t="s">
        <v>11</v>
      </c>
      <c r="D1330" s="5" t="s">
        <v>12</v>
      </c>
      <c r="E1330" s="5" t="s">
        <v>963</v>
      </c>
    </row>
    <row r="1331" spans="1:5" x14ac:dyDescent="0.25">
      <c r="A1331" s="5">
        <f>1323</f>
      </c>
      <c r="B1331" s="5" t="s">
        <v>1414</v>
      </c>
      <c r="C1331" s="5" t="s">
        <v>11</v>
      </c>
      <c r="D1331" s="5" t="s">
        <v>12</v>
      </c>
      <c r="E1331" s="5" t="s">
        <v>963</v>
      </c>
    </row>
    <row r="1332" spans="1:5" x14ac:dyDescent="0.25">
      <c r="A1332" s="5">
        <f>1324</f>
      </c>
      <c r="B1332" s="5" t="s">
        <v>1415</v>
      </c>
      <c r="C1332" s="5" t="s">
        <v>11</v>
      </c>
      <c r="D1332" s="5" t="s">
        <v>12</v>
      </c>
      <c r="E1332" s="5" t="s">
        <v>963</v>
      </c>
    </row>
    <row r="1333" spans="1:5" x14ac:dyDescent="0.25">
      <c r="A1333" s="5">
        <f>1325</f>
      </c>
      <c r="B1333" s="5" t="s">
        <v>1416</v>
      </c>
      <c r="C1333" s="5" t="s">
        <v>11</v>
      </c>
      <c r="D1333" s="5" t="s">
        <v>12</v>
      </c>
      <c r="E1333" s="5" t="s">
        <v>963</v>
      </c>
    </row>
    <row r="1334" spans="1:5" x14ac:dyDescent="0.25">
      <c r="A1334" s="5">
        <f>1326</f>
      </c>
      <c r="B1334" s="5" t="s">
        <v>1417</v>
      </c>
      <c r="C1334" s="5" t="s">
        <v>11</v>
      </c>
      <c r="D1334" s="5" t="s">
        <v>12</v>
      </c>
      <c r="E1334" s="5" t="s">
        <v>963</v>
      </c>
    </row>
    <row r="1335" spans="1:5" x14ac:dyDescent="0.25">
      <c r="A1335" s="5">
        <f>1327</f>
      </c>
      <c r="B1335" s="5" t="s">
        <v>1418</v>
      </c>
      <c r="C1335" s="5" t="s">
        <v>11</v>
      </c>
      <c r="D1335" s="5" t="s">
        <v>12</v>
      </c>
      <c r="E1335" s="5" t="s">
        <v>963</v>
      </c>
    </row>
    <row r="1336" spans="1:5" x14ac:dyDescent="0.25">
      <c r="A1336" s="5">
        <f>1328</f>
      </c>
      <c r="B1336" s="5" t="s">
        <v>1419</v>
      </c>
      <c r="C1336" s="5" t="s">
        <v>11</v>
      </c>
      <c r="D1336" s="5" t="s">
        <v>12</v>
      </c>
      <c r="E1336" s="5" t="s">
        <v>963</v>
      </c>
    </row>
    <row r="1337" spans="1:5" x14ac:dyDescent="0.25">
      <c r="A1337" s="5">
        <f>1329</f>
      </c>
      <c r="B1337" s="5" t="s">
        <v>1420</v>
      </c>
      <c r="C1337" s="5" t="s">
        <v>11</v>
      </c>
      <c r="D1337" s="5" t="s">
        <v>12</v>
      </c>
      <c r="E1337" s="5" t="s">
        <v>963</v>
      </c>
    </row>
    <row r="1338" spans="1:5" x14ac:dyDescent="0.25">
      <c r="A1338" s="5">
        <f>1330</f>
      </c>
      <c r="B1338" s="5" t="s">
        <v>1421</v>
      </c>
      <c r="C1338" s="5" t="s">
        <v>11</v>
      </c>
      <c r="D1338" s="5" t="s">
        <v>12</v>
      </c>
      <c r="E1338" s="5" t="s">
        <v>963</v>
      </c>
    </row>
    <row r="1339" spans="1:5" x14ac:dyDescent="0.25">
      <c r="A1339" s="5">
        <f>1331</f>
      </c>
      <c r="B1339" s="5" t="s">
        <v>1422</v>
      </c>
      <c r="C1339" s="5" t="s">
        <v>11</v>
      </c>
      <c r="D1339" s="5" t="s">
        <v>12</v>
      </c>
      <c r="E1339" s="5" t="s">
        <v>963</v>
      </c>
    </row>
    <row r="1340" spans="1:5" x14ac:dyDescent="0.25">
      <c r="A1340" s="5">
        <f>1332</f>
      </c>
      <c r="B1340" s="5" t="s">
        <v>1423</v>
      </c>
      <c r="C1340" s="5" t="s">
        <v>11</v>
      </c>
      <c r="D1340" s="5" t="s">
        <v>12</v>
      </c>
      <c r="E1340" s="5" t="s">
        <v>963</v>
      </c>
    </row>
    <row r="1341" spans="1:5" x14ac:dyDescent="0.25">
      <c r="A1341" s="5">
        <f>1333</f>
      </c>
      <c r="B1341" s="5" t="s">
        <v>1424</v>
      </c>
      <c r="C1341" s="5" t="s">
        <v>11</v>
      </c>
      <c r="D1341" s="5" t="s">
        <v>12</v>
      </c>
      <c r="E1341" s="5" t="s">
        <v>963</v>
      </c>
    </row>
    <row r="1342" spans="1:5" x14ac:dyDescent="0.25">
      <c r="A1342" s="5">
        <f>1334</f>
      </c>
      <c r="B1342" s="5" t="s">
        <v>1425</v>
      </c>
      <c r="C1342" s="5" t="s">
        <v>11</v>
      </c>
      <c r="D1342" s="5" t="s">
        <v>12</v>
      </c>
      <c r="E1342" s="5" t="s">
        <v>963</v>
      </c>
    </row>
    <row r="1343" spans="1:5" x14ac:dyDescent="0.25">
      <c r="A1343" s="5">
        <f>1335</f>
      </c>
      <c r="B1343" s="5" t="s">
        <v>1426</v>
      </c>
      <c r="C1343" s="5" t="s">
        <v>11</v>
      </c>
      <c r="D1343" s="5" t="s">
        <v>12</v>
      </c>
      <c r="E1343" s="5" t="s">
        <v>963</v>
      </c>
    </row>
    <row r="1344" spans="1:5" x14ac:dyDescent="0.25">
      <c r="A1344" s="5">
        <f>1336</f>
      </c>
      <c r="B1344" s="5" t="s">
        <v>1427</v>
      </c>
      <c r="C1344" s="5" t="s">
        <v>11</v>
      </c>
      <c r="D1344" s="5" t="s">
        <v>12</v>
      </c>
      <c r="E1344" s="5" t="s">
        <v>963</v>
      </c>
    </row>
    <row r="1345" spans="1:5" x14ac:dyDescent="0.25">
      <c r="A1345" s="5">
        <f>1337</f>
      </c>
      <c r="B1345" s="5" t="s">
        <v>1428</v>
      </c>
      <c r="C1345" s="5" t="s">
        <v>11</v>
      </c>
      <c r="D1345" s="5" t="s">
        <v>12</v>
      </c>
      <c r="E1345" s="5" t="s">
        <v>963</v>
      </c>
    </row>
    <row r="1346" spans="1:5" x14ac:dyDescent="0.25">
      <c r="A1346" s="5">
        <f>1338</f>
      </c>
      <c r="B1346" s="5" t="s">
        <v>1429</v>
      </c>
      <c r="C1346" s="5" t="s">
        <v>11</v>
      </c>
      <c r="D1346" s="5" t="s">
        <v>12</v>
      </c>
      <c r="E1346" s="5" t="s">
        <v>963</v>
      </c>
    </row>
    <row r="1347" spans="1:5" x14ac:dyDescent="0.25">
      <c r="A1347" s="5">
        <f>1339</f>
      </c>
      <c r="B1347" s="5" t="s">
        <v>1430</v>
      </c>
      <c r="C1347" s="5" t="s">
        <v>11</v>
      </c>
      <c r="D1347" s="5" t="s">
        <v>12</v>
      </c>
      <c r="E1347" s="5" t="s">
        <v>963</v>
      </c>
    </row>
    <row r="1348" spans="1:5" x14ac:dyDescent="0.25">
      <c r="A1348" s="5">
        <f>1340</f>
      </c>
      <c r="B1348" s="5" t="s">
        <v>1431</v>
      </c>
      <c r="C1348" s="5" t="s">
        <v>11</v>
      </c>
      <c r="D1348" s="5" t="s">
        <v>12</v>
      </c>
      <c r="E1348" s="5" t="s">
        <v>963</v>
      </c>
    </row>
    <row r="1349" spans="1:5" x14ac:dyDescent="0.25">
      <c r="A1349" s="5">
        <f>1341</f>
      </c>
      <c r="B1349" s="5" t="s">
        <v>1432</v>
      </c>
      <c r="C1349" s="5" t="s">
        <v>11</v>
      </c>
      <c r="D1349" s="5" t="s">
        <v>12</v>
      </c>
      <c r="E1349" s="5" t="s">
        <v>963</v>
      </c>
    </row>
    <row r="1350" spans="1:5" x14ac:dyDescent="0.25">
      <c r="A1350" s="5">
        <f>1342</f>
      </c>
      <c r="B1350" s="5" t="s">
        <v>1433</v>
      </c>
      <c r="C1350" s="5" t="s">
        <v>11</v>
      </c>
      <c r="D1350" s="5" t="s">
        <v>12</v>
      </c>
      <c r="E1350" s="5" t="s">
        <v>963</v>
      </c>
    </row>
    <row r="1351" spans="1:5" x14ac:dyDescent="0.25">
      <c r="A1351" s="5">
        <f>1343</f>
      </c>
      <c r="B1351" s="5" t="s">
        <v>1434</v>
      </c>
      <c r="C1351" s="5" t="s">
        <v>11</v>
      </c>
      <c r="D1351" s="5" t="s">
        <v>12</v>
      </c>
      <c r="E1351" s="5" t="s">
        <v>963</v>
      </c>
    </row>
    <row r="1352" spans="1:5" x14ac:dyDescent="0.25">
      <c r="A1352" s="5">
        <f>1344</f>
      </c>
      <c r="B1352" s="5" t="s">
        <v>1435</v>
      </c>
      <c r="C1352" s="5" t="s">
        <v>11</v>
      </c>
      <c r="D1352" s="5" t="s">
        <v>12</v>
      </c>
      <c r="E1352" s="5" t="s">
        <v>963</v>
      </c>
    </row>
    <row r="1353" spans="1:5" x14ac:dyDescent="0.25">
      <c r="A1353" s="5">
        <f>1345</f>
      </c>
      <c r="B1353" s="5" t="s">
        <v>1436</v>
      </c>
      <c r="C1353" s="5" t="s">
        <v>11</v>
      </c>
      <c r="D1353" s="5" t="s">
        <v>12</v>
      </c>
      <c r="E1353" s="5" t="s">
        <v>963</v>
      </c>
    </row>
    <row r="1354" spans="1:5" x14ac:dyDescent="0.25">
      <c r="A1354" s="5">
        <f>1346</f>
      </c>
      <c r="B1354" s="5" t="s">
        <v>1437</v>
      </c>
      <c r="C1354" s="5" t="s">
        <v>11</v>
      </c>
      <c r="D1354" s="5" t="s">
        <v>12</v>
      </c>
      <c r="E1354" s="5" t="s">
        <v>963</v>
      </c>
    </row>
    <row r="1355" spans="1:5" x14ac:dyDescent="0.25">
      <c r="A1355" s="5">
        <f>1347</f>
      </c>
      <c r="B1355" s="5" t="s">
        <v>1438</v>
      </c>
      <c r="C1355" s="5" t="s">
        <v>11</v>
      </c>
      <c r="D1355" s="5" t="s">
        <v>12</v>
      </c>
      <c r="E1355" s="5" t="s">
        <v>963</v>
      </c>
    </row>
    <row r="1356" spans="1:5" x14ac:dyDescent="0.25">
      <c r="A1356" s="5">
        <f>1348</f>
      </c>
      <c r="B1356" s="5" t="s">
        <v>1439</v>
      </c>
      <c r="C1356" s="5" t="s">
        <v>11</v>
      </c>
      <c r="D1356" s="5" t="s">
        <v>12</v>
      </c>
      <c r="E1356" s="5" t="s">
        <v>963</v>
      </c>
    </row>
    <row r="1357" spans="1:5" x14ac:dyDescent="0.25">
      <c r="A1357" s="5">
        <f>1349</f>
      </c>
      <c r="B1357" s="5" t="s">
        <v>1440</v>
      </c>
      <c r="C1357" s="5" t="s">
        <v>11</v>
      </c>
      <c r="D1357" s="5" t="s">
        <v>12</v>
      </c>
      <c r="E1357" s="5" t="s">
        <v>963</v>
      </c>
    </row>
    <row r="1358" spans="1:5" x14ac:dyDescent="0.25">
      <c r="A1358" s="5">
        <f>1350</f>
      </c>
      <c r="B1358" s="5" t="s">
        <v>1441</v>
      </c>
      <c r="C1358" s="5" t="s">
        <v>11</v>
      </c>
      <c r="D1358" s="5" t="s">
        <v>12</v>
      </c>
      <c r="E1358" s="5" t="s">
        <v>963</v>
      </c>
    </row>
    <row r="1359" spans="1:5" x14ac:dyDescent="0.25">
      <c r="A1359" s="5">
        <f>1351</f>
      </c>
      <c r="B1359" s="5" t="s">
        <v>1442</v>
      </c>
      <c r="C1359" s="5" t="s">
        <v>11</v>
      </c>
      <c r="D1359" s="5" t="s">
        <v>12</v>
      </c>
      <c r="E1359" s="5" t="s">
        <v>963</v>
      </c>
    </row>
    <row r="1360" spans="1:5" x14ac:dyDescent="0.25">
      <c r="A1360" s="5">
        <f>1352</f>
      </c>
      <c r="B1360" s="5" t="s">
        <v>1443</v>
      </c>
      <c r="C1360" s="5" t="s">
        <v>11</v>
      </c>
      <c r="D1360" s="5" t="s">
        <v>12</v>
      </c>
      <c r="E1360" s="5" t="s">
        <v>963</v>
      </c>
    </row>
    <row r="1361" spans="1:5" x14ac:dyDescent="0.25">
      <c r="A1361" s="5">
        <f>1353</f>
      </c>
      <c r="B1361" s="5" t="s">
        <v>1444</v>
      </c>
      <c r="C1361" s="5" t="s">
        <v>11</v>
      </c>
      <c r="D1361" s="5" t="s">
        <v>12</v>
      </c>
      <c r="E1361" s="5" t="s">
        <v>963</v>
      </c>
    </row>
    <row r="1362" spans="1:5" x14ac:dyDescent="0.25">
      <c r="A1362" s="5">
        <f>1354</f>
      </c>
      <c r="B1362" s="5" t="s">
        <v>1445</v>
      </c>
      <c r="C1362" s="5" t="s">
        <v>11</v>
      </c>
      <c r="D1362" s="5" t="s">
        <v>12</v>
      </c>
      <c r="E1362" s="5" t="s">
        <v>963</v>
      </c>
    </row>
    <row r="1363" spans="1:5" x14ac:dyDescent="0.25">
      <c r="A1363" s="5">
        <f>1355</f>
      </c>
      <c r="B1363" s="5" t="s">
        <v>1446</v>
      </c>
      <c r="C1363" s="5" t="s">
        <v>11</v>
      </c>
      <c r="D1363" s="5" t="s">
        <v>12</v>
      </c>
      <c r="E1363" s="5" t="s">
        <v>963</v>
      </c>
    </row>
    <row r="1364" spans="1:5" x14ac:dyDescent="0.25">
      <c r="A1364" s="5">
        <f>1356</f>
      </c>
      <c r="B1364" s="5" t="s">
        <v>1447</v>
      </c>
      <c r="C1364" s="5" t="s">
        <v>11</v>
      </c>
      <c r="D1364" s="5" t="s">
        <v>12</v>
      </c>
      <c r="E1364" s="5" t="s">
        <v>963</v>
      </c>
    </row>
    <row r="1365" spans="1:5" x14ac:dyDescent="0.25">
      <c r="A1365" s="5">
        <f>1357</f>
      </c>
      <c r="B1365" s="5" t="s">
        <v>1448</v>
      </c>
      <c r="C1365" s="5" t="s">
        <v>11</v>
      </c>
      <c r="D1365" s="5" t="s">
        <v>12</v>
      </c>
      <c r="E1365" s="5" t="s">
        <v>963</v>
      </c>
    </row>
    <row r="1366" spans="1:5" x14ac:dyDescent="0.25">
      <c r="A1366" s="5">
        <f>1358</f>
      </c>
      <c r="B1366" s="5" t="s">
        <v>1449</v>
      </c>
      <c r="C1366" s="5" t="s">
        <v>11</v>
      </c>
      <c r="D1366" s="5" t="s">
        <v>12</v>
      </c>
      <c r="E1366" s="5" t="s">
        <v>963</v>
      </c>
    </row>
    <row r="1367" spans="1:5" x14ac:dyDescent="0.25">
      <c r="A1367" s="5">
        <f>1359</f>
      </c>
      <c r="B1367" s="5" t="s">
        <v>1450</v>
      </c>
      <c r="C1367" s="5" t="s">
        <v>11</v>
      </c>
      <c r="D1367" s="5" t="s">
        <v>12</v>
      </c>
      <c r="E1367" s="5" t="s">
        <v>963</v>
      </c>
    </row>
    <row r="1368" spans="1:5" x14ac:dyDescent="0.25">
      <c r="A1368" s="5">
        <f>1360</f>
      </c>
      <c r="B1368" s="5" t="s">
        <v>1451</v>
      </c>
      <c r="C1368" s="5" t="s">
        <v>11</v>
      </c>
      <c r="D1368" s="5" t="s">
        <v>12</v>
      </c>
      <c r="E1368" s="5" t="s">
        <v>963</v>
      </c>
    </row>
    <row r="1369" spans="1:5" x14ac:dyDescent="0.25">
      <c r="A1369" s="5">
        <f>1361</f>
      </c>
      <c r="B1369" s="5" t="s">
        <v>1452</v>
      </c>
      <c r="C1369" s="5" t="s">
        <v>11</v>
      </c>
      <c r="D1369" s="5" t="s">
        <v>12</v>
      </c>
      <c r="E1369" s="5" t="s">
        <v>963</v>
      </c>
    </row>
    <row r="1370" spans="1:5" x14ac:dyDescent="0.25">
      <c r="A1370" s="5">
        <f>1362</f>
      </c>
      <c r="B1370" s="5" t="s">
        <v>1453</v>
      </c>
      <c r="C1370" s="5" t="s">
        <v>11</v>
      </c>
      <c r="D1370" s="5" t="s">
        <v>12</v>
      </c>
      <c r="E1370" s="5" t="s">
        <v>963</v>
      </c>
    </row>
    <row r="1371" spans="1:5" x14ac:dyDescent="0.25">
      <c r="A1371" s="5">
        <f>1363</f>
      </c>
      <c r="B1371" s="5" t="s">
        <v>1454</v>
      </c>
      <c r="C1371" s="5" t="s">
        <v>11</v>
      </c>
      <c r="D1371" s="5" t="s">
        <v>12</v>
      </c>
      <c r="E1371" s="5" t="s">
        <v>963</v>
      </c>
    </row>
    <row r="1372" spans="1:5" x14ac:dyDescent="0.25">
      <c r="A1372" s="5">
        <f>1364</f>
      </c>
      <c r="B1372" s="5" t="s">
        <v>1455</v>
      </c>
      <c r="C1372" s="5" t="s">
        <v>11</v>
      </c>
      <c r="D1372" s="5" t="s">
        <v>12</v>
      </c>
      <c r="E1372" s="5" t="s">
        <v>963</v>
      </c>
    </row>
    <row r="1373" spans="1:5" x14ac:dyDescent="0.25">
      <c r="A1373" s="5">
        <f>1365</f>
      </c>
      <c r="B1373" s="5" t="s">
        <v>1456</v>
      </c>
      <c r="C1373" s="5" t="s">
        <v>11</v>
      </c>
      <c r="D1373" s="5" t="s">
        <v>12</v>
      </c>
      <c r="E1373" s="5" t="s">
        <v>963</v>
      </c>
    </row>
    <row r="1374" spans="1:5" x14ac:dyDescent="0.25">
      <c r="A1374" s="5">
        <f>1366</f>
      </c>
      <c r="B1374" s="5" t="s">
        <v>1457</v>
      </c>
      <c r="C1374" s="5" t="s">
        <v>11</v>
      </c>
      <c r="D1374" s="5" t="s">
        <v>12</v>
      </c>
      <c r="E1374" s="5" t="s">
        <v>963</v>
      </c>
    </row>
    <row r="1375" spans="1:5" x14ac:dyDescent="0.25">
      <c r="A1375" s="5">
        <f>1367</f>
      </c>
      <c r="B1375" s="5" t="s">
        <v>1458</v>
      </c>
      <c r="C1375" s="5" t="s">
        <v>11</v>
      </c>
      <c r="D1375" s="5" t="s">
        <v>12</v>
      </c>
      <c r="E1375" s="5" t="s">
        <v>963</v>
      </c>
    </row>
    <row r="1376" spans="1:5" x14ac:dyDescent="0.25">
      <c r="A1376" s="5">
        <f>1368</f>
      </c>
      <c r="B1376" s="5" t="s">
        <v>1459</v>
      </c>
      <c r="C1376" s="5" t="s">
        <v>11</v>
      </c>
      <c r="D1376" s="5" t="s">
        <v>12</v>
      </c>
      <c r="E1376" s="5" t="s">
        <v>963</v>
      </c>
    </row>
    <row r="1377" spans="1:5" x14ac:dyDescent="0.25">
      <c r="A1377" s="5">
        <f>1369</f>
      </c>
      <c r="B1377" s="5" t="s">
        <v>1460</v>
      </c>
      <c r="C1377" s="5" t="s">
        <v>11</v>
      </c>
      <c r="D1377" s="5" t="s">
        <v>12</v>
      </c>
      <c r="E1377" s="5" t="s">
        <v>963</v>
      </c>
    </row>
    <row r="1378" spans="1:5" x14ac:dyDescent="0.25">
      <c r="A1378" s="5">
        <f>1370</f>
      </c>
      <c r="B1378" s="5" t="s">
        <v>1461</v>
      </c>
      <c r="C1378" s="5" t="s">
        <v>11</v>
      </c>
      <c r="D1378" s="5" t="s">
        <v>12</v>
      </c>
      <c r="E1378" s="5" t="s">
        <v>963</v>
      </c>
    </row>
    <row r="1379" spans="1:5" x14ac:dyDescent="0.25">
      <c r="A1379" s="5">
        <f>1371</f>
      </c>
      <c r="B1379" s="5" t="s">
        <v>1462</v>
      </c>
      <c r="C1379" s="5" t="s">
        <v>11</v>
      </c>
      <c r="D1379" s="5" t="s">
        <v>12</v>
      </c>
      <c r="E1379" s="5" t="s">
        <v>963</v>
      </c>
    </row>
    <row r="1380" spans="1:5" x14ac:dyDescent="0.25">
      <c r="A1380" s="5">
        <f>1372</f>
      </c>
      <c r="B1380" s="5" t="s">
        <v>1463</v>
      </c>
      <c r="C1380" s="5" t="s">
        <v>11</v>
      </c>
      <c r="D1380" s="5" t="s">
        <v>12</v>
      </c>
      <c r="E1380" s="5" t="s">
        <v>963</v>
      </c>
    </row>
    <row r="1381" spans="1:5" x14ac:dyDescent="0.25">
      <c r="A1381" s="5">
        <f>1373</f>
      </c>
      <c r="B1381" s="5" t="s">
        <v>1464</v>
      </c>
      <c r="C1381" s="5" t="s">
        <v>11</v>
      </c>
      <c r="D1381" s="5" t="s">
        <v>12</v>
      </c>
      <c r="E1381" s="5" t="s">
        <v>963</v>
      </c>
    </row>
    <row r="1382" spans="1:5" x14ac:dyDescent="0.25">
      <c r="A1382" s="5">
        <f>1374</f>
      </c>
      <c r="B1382" s="5" t="s">
        <v>1465</v>
      </c>
      <c r="C1382" s="5" t="s">
        <v>11</v>
      </c>
      <c r="D1382" s="5" t="s">
        <v>12</v>
      </c>
      <c r="E1382" s="5" t="s">
        <v>963</v>
      </c>
    </row>
    <row r="1383" spans="1:5" x14ac:dyDescent="0.25">
      <c r="A1383" s="5">
        <f>1375</f>
      </c>
      <c r="B1383" s="5" t="s">
        <v>1466</v>
      </c>
      <c r="C1383" s="5" t="s">
        <v>11</v>
      </c>
      <c r="D1383" s="5" t="s">
        <v>12</v>
      </c>
      <c r="E1383" s="5" t="s">
        <v>963</v>
      </c>
    </row>
    <row r="1384" spans="1:5" x14ac:dyDescent="0.25">
      <c r="A1384" s="5">
        <f>1376</f>
      </c>
      <c r="B1384" s="5" t="s">
        <v>1467</v>
      </c>
      <c r="C1384" s="5" t="s">
        <v>11</v>
      </c>
      <c r="D1384" s="5" t="s">
        <v>12</v>
      </c>
      <c r="E1384" s="5" t="s">
        <v>963</v>
      </c>
    </row>
    <row r="1385" spans="1:5" x14ac:dyDescent="0.25">
      <c r="A1385" s="5">
        <f>1377</f>
      </c>
      <c r="B1385" s="5" t="s">
        <v>1468</v>
      </c>
      <c r="C1385" s="5" t="s">
        <v>11</v>
      </c>
      <c r="D1385" s="5" t="s">
        <v>12</v>
      </c>
      <c r="E1385" s="5" t="s">
        <v>963</v>
      </c>
    </row>
    <row r="1386" spans="1:5" x14ac:dyDescent="0.25">
      <c r="A1386" s="5">
        <f>1378</f>
      </c>
      <c r="B1386" s="5" t="s">
        <v>1469</v>
      </c>
      <c r="C1386" s="5" t="s">
        <v>11</v>
      </c>
      <c r="D1386" s="5" t="s">
        <v>12</v>
      </c>
      <c r="E1386" s="5" t="s">
        <v>963</v>
      </c>
    </row>
    <row r="1387" spans="1:5" x14ac:dyDescent="0.25">
      <c r="A1387" s="5">
        <f>1379</f>
      </c>
      <c r="B1387" s="5" t="s">
        <v>1470</v>
      </c>
      <c r="C1387" s="5" t="s">
        <v>11</v>
      </c>
      <c r="D1387" s="5" t="s">
        <v>12</v>
      </c>
      <c r="E1387" s="5" t="s">
        <v>963</v>
      </c>
    </row>
    <row r="1388" spans="1:5" x14ac:dyDescent="0.25">
      <c r="A1388" s="5">
        <f>1380</f>
      </c>
      <c r="B1388" s="5" t="s">
        <v>1471</v>
      </c>
      <c r="C1388" s="5" t="s">
        <v>11</v>
      </c>
      <c r="D1388" s="5" t="s">
        <v>12</v>
      </c>
      <c r="E1388" s="5" t="s">
        <v>963</v>
      </c>
    </row>
    <row r="1389" spans="1:5" x14ac:dyDescent="0.25">
      <c r="A1389" s="5">
        <f>1381</f>
      </c>
      <c r="B1389" s="5" t="s">
        <v>1472</v>
      </c>
      <c r="C1389" s="5" t="s">
        <v>11</v>
      </c>
      <c r="D1389" s="5" t="s">
        <v>12</v>
      </c>
      <c r="E1389" s="5" t="s">
        <v>963</v>
      </c>
    </row>
    <row r="1390" spans="1:5" x14ac:dyDescent="0.25">
      <c r="A1390" s="5">
        <f>1382</f>
      </c>
      <c r="B1390" s="5" t="s">
        <v>1473</v>
      </c>
      <c r="C1390" s="5" t="s">
        <v>11</v>
      </c>
      <c r="D1390" s="5" t="s">
        <v>12</v>
      </c>
      <c r="E1390" s="5" t="s">
        <v>963</v>
      </c>
    </row>
    <row r="1391" spans="1:5" x14ac:dyDescent="0.25">
      <c r="A1391" s="5">
        <f>1383</f>
      </c>
      <c r="B1391" s="5" t="s">
        <v>1474</v>
      </c>
      <c r="C1391" s="5" t="s">
        <v>11</v>
      </c>
      <c r="D1391" s="5" t="s">
        <v>12</v>
      </c>
      <c r="E1391" s="5" t="s">
        <v>963</v>
      </c>
    </row>
    <row r="1392" spans="1:5" x14ac:dyDescent="0.25">
      <c r="A1392" s="5">
        <f>1384</f>
      </c>
      <c r="B1392" s="5" t="s">
        <v>1475</v>
      </c>
      <c r="C1392" s="5" t="s">
        <v>11</v>
      </c>
      <c r="D1392" s="5" t="s">
        <v>12</v>
      </c>
      <c r="E1392" s="5" t="s">
        <v>963</v>
      </c>
    </row>
    <row r="1393" spans="1:5" x14ac:dyDescent="0.25">
      <c r="A1393" s="5">
        <f>1385</f>
      </c>
      <c r="B1393" s="5" t="s">
        <v>1476</v>
      </c>
      <c r="C1393" s="5" t="s">
        <v>11</v>
      </c>
      <c r="D1393" s="5" t="s">
        <v>12</v>
      </c>
      <c r="E1393" s="5" t="s">
        <v>963</v>
      </c>
    </row>
    <row r="1394" spans="1:5" x14ac:dyDescent="0.25">
      <c r="A1394" s="5">
        <f>1386</f>
      </c>
      <c r="B1394" s="5" t="s">
        <v>1477</v>
      </c>
      <c r="C1394" s="5" t="s">
        <v>11</v>
      </c>
      <c r="D1394" s="5" t="s">
        <v>12</v>
      </c>
      <c r="E1394" s="5" t="s">
        <v>963</v>
      </c>
    </row>
    <row r="1395" spans="1:5" x14ac:dyDescent="0.25">
      <c r="A1395" s="5">
        <f>1387</f>
      </c>
      <c r="B1395" s="5" t="s">
        <v>1478</v>
      </c>
      <c r="C1395" s="5" t="s">
        <v>11</v>
      </c>
      <c r="D1395" s="5" t="s">
        <v>12</v>
      </c>
      <c r="E1395" s="5" t="s">
        <v>963</v>
      </c>
    </row>
    <row r="1396" spans="1:5" x14ac:dyDescent="0.25">
      <c r="A1396" s="5">
        <f>1388</f>
      </c>
      <c r="B1396" s="5" t="s">
        <v>1479</v>
      </c>
      <c r="C1396" s="5" t="s">
        <v>11</v>
      </c>
      <c r="D1396" s="5" t="s">
        <v>12</v>
      </c>
      <c r="E1396" s="5" t="s">
        <v>963</v>
      </c>
    </row>
    <row r="1397" spans="1:5" x14ac:dyDescent="0.25">
      <c r="A1397" s="5">
        <f>1389</f>
      </c>
      <c r="B1397" s="5" t="s">
        <v>1480</v>
      </c>
      <c r="C1397" s="5" t="s">
        <v>11</v>
      </c>
      <c r="D1397" s="5" t="s">
        <v>12</v>
      </c>
      <c r="E1397" s="5" t="s">
        <v>963</v>
      </c>
    </row>
    <row r="1398" spans="1:5" x14ac:dyDescent="0.25">
      <c r="A1398" s="5">
        <f>1390</f>
      </c>
      <c r="B1398" s="5" t="s">
        <v>1481</v>
      </c>
      <c r="C1398" s="5" t="s">
        <v>11</v>
      </c>
      <c r="D1398" s="5" t="s">
        <v>12</v>
      </c>
      <c r="E1398" s="5" t="s">
        <v>963</v>
      </c>
    </row>
    <row r="1399" spans="1:5" x14ac:dyDescent="0.25">
      <c r="A1399" s="5">
        <f>1391</f>
      </c>
      <c r="B1399" s="5" t="s">
        <v>1482</v>
      </c>
      <c r="C1399" s="5" t="s">
        <v>11</v>
      </c>
      <c r="D1399" s="5" t="s">
        <v>12</v>
      </c>
      <c r="E1399" s="5" t="s">
        <v>963</v>
      </c>
    </row>
    <row r="1400" spans="1:5" x14ac:dyDescent="0.25">
      <c r="A1400" s="5">
        <f>1392</f>
      </c>
      <c r="B1400" s="5" t="s">
        <v>1483</v>
      </c>
      <c r="C1400" s="5" t="s">
        <v>11</v>
      </c>
      <c r="D1400" s="5" t="s">
        <v>12</v>
      </c>
      <c r="E1400" s="5" t="s">
        <v>963</v>
      </c>
    </row>
    <row r="1401" spans="1:5" x14ac:dyDescent="0.25">
      <c r="A1401" s="5">
        <f>1393</f>
      </c>
      <c r="B1401" s="5" t="s">
        <v>1484</v>
      </c>
      <c r="C1401" s="5" t="s">
        <v>11</v>
      </c>
      <c r="D1401" s="5" t="s">
        <v>12</v>
      </c>
      <c r="E1401" s="5" t="s">
        <v>963</v>
      </c>
    </row>
    <row r="1402" spans="1:5" x14ac:dyDescent="0.25">
      <c r="A1402" s="5">
        <f>1394</f>
      </c>
      <c r="B1402" s="5" t="s">
        <v>1485</v>
      </c>
      <c r="C1402" s="5" t="s">
        <v>11</v>
      </c>
      <c r="D1402" s="5" t="s">
        <v>12</v>
      </c>
      <c r="E1402" s="5" t="s">
        <v>963</v>
      </c>
    </row>
    <row r="1403" spans="1:5" x14ac:dyDescent="0.25">
      <c r="A1403" s="5">
        <f>1395</f>
      </c>
      <c r="B1403" s="5" t="s">
        <v>1486</v>
      </c>
      <c r="C1403" s="5" t="s">
        <v>11</v>
      </c>
      <c r="D1403" s="5" t="s">
        <v>12</v>
      </c>
      <c r="E1403" s="5" t="s">
        <v>963</v>
      </c>
    </row>
    <row r="1404" spans="1:5" x14ac:dyDescent="0.25">
      <c r="A1404" s="5">
        <f>1396</f>
      </c>
      <c r="B1404" s="5" t="s">
        <v>1487</v>
      </c>
      <c r="C1404" s="5" t="s">
        <v>11</v>
      </c>
      <c r="D1404" s="5" t="s">
        <v>12</v>
      </c>
      <c r="E1404" s="5" t="s">
        <v>963</v>
      </c>
    </row>
    <row r="1405" spans="1:5" x14ac:dyDescent="0.25">
      <c r="A1405" s="5">
        <f>1397</f>
      </c>
      <c r="B1405" s="5" t="s">
        <v>1488</v>
      </c>
      <c r="C1405" s="5" t="s">
        <v>11</v>
      </c>
      <c r="D1405" s="5" t="s">
        <v>12</v>
      </c>
      <c r="E1405" s="5" t="s">
        <v>963</v>
      </c>
    </row>
    <row r="1406" spans="1:5" x14ac:dyDescent="0.25">
      <c r="A1406" s="5">
        <f>1398</f>
      </c>
      <c r="B1406" s="5" t="s">
        <v>1489</v>
      </c>
      <c r="C1406" s="5" t="s">
        <v>11</v>
      </c>
      <c r="D1406" s="5" t="s">
        <v>12</v>
      </c>
      <c r="E1406" s="5" t="s">
        <v>963</v>
      </c>
    </row>
    <row r="1407" spans="1:5" x14ac:dyDescent="0.25">
      <c r="A1407" s="5">
        <f>1399</f>
      </c>
      <c r="B1407" s="5" t="s">
        <v>1490</v>
      </c>
      <c r="C1407" s="5" t="s">
        <v>11</v>
      </c>
      <c r="D1407" s="5" t="s">
        <v>12</v>
      </c>
      <c r="E1407" s="5" t="s">
        <v>963</v>
      </c>
    </row>
    <row r="1408" spans="1:5" x14ac:dyDescent="0.25">
      <c r="A1408" s="5">
        <f>1400</f>
      </c>
      <c r="B1408" s="5" t="s">
        <v>1491</v>
      </c>
      <c r="C1408" s="5" t="s">
        <v>11</v>
      </c>
      <c r="D1408" s="5" t="s">
        <v>12</v>
      </c>
      <c r="E1408" s="5" t="s">
        <v>963</v>
      </c>
    </row>
    <row r="1409" spans="1:5" x14ac:dyDescent="0.25">
      <c r="A1409" s="5">
        <f>1401</f>
      </c>
      <c r="B1409" s="5" t="s">
        <v>1492</v>
      </c>
      <c r="C1409" s="5" t="s">
        <v>11</v>
      </c>
      <c r="D1409" s="5" t="s">
        <v>12</v>
      </c>
      <c r="E1409" s="5" t="s">
        <v>963</v>
      </c>
    </row>
    <row r="1410" spans="1:5" x14ac:dyDescent="0.25">
      <c r="A1410" s="5">
        <f>1402</f>
      </c>
      <c r="B1410" s="5" t="s">
        <v>1493</v>
      </c>
      <c r="C1410" s="5" t="s">
        <v>11</v>
      </c>
      <c r="D1410" s="5" t="s">
        <v>12</v>
      </c>
      <c r="E1410" s="5" t="s">
        <v>963</v>
      </c>
    </row>
    <row r="1411" spans="1:5" x14ac:dyDescent="0.25">
      <c r="A1411" s="5">
        <f>1403</f>
      </c>
      <c r="B1411" s="5" t="s">
        <v>1494</v>
      </c>
      <c r="C1411" s="5" t="s">
        <v>11</v>
      </c>
      <c r="D1411" s="5" t="s">
        <v>12</v>
      </c>
      <c r="E1411" s="5" t="s">
        <v>963</v>
      </c>
    </row>
    <row r="1412" spans="1:5" x14ac:dyDescent="0.25">
      <c r="A1412" s="5">
        <f>1404</f>
      </c>
      <c r="B1412" s="5" t="s">
        <v>1495</v>
      </c>
      <c r="C1412" s="5" t="s">
        <v>11</v>
      </c>
      <c r="D1412" s="5" t="s">
        <v>12</v>
      </c>
      <c r="E1412" s="5" t="s">
        <v>963</v>
      </c>
    </row>
    <row r="1413" spans="1:5" x14ac:dyDescent="0.25">
      <c r="A1413" s="5">
        <f>1405</f>
      </c>
      <c r="B1413" s="5" t="s">
        <v>1496</v>
      </c>
      <c r="C1413" s="5" t="s">
        <v>11</v>
      </c>
      <c r="D1413" s="5" t="s">
        <v>12</v>
      </c>
      <c r="E1413" s="5" t="s">
        <v>963</v>
      </c>
    </row>
    <row r="1414" spans="1:5" x14ac:dyDescent="0.25">
      <c r="A1414" s="5">
        <f>1406</f>
      </c>
      <c r="B1414" s="5" t="s">
        <v>1497</v>
      </c>
      <c r="C1414" s="5" t="s">
        <v>11</v>
      </c>
      <c r="D1414" s="5" t="s">
        <v>12</v>
      </c>
      <c r="E1414" s="5" t="s">
        <v>963</v>
      </c>
    </row>
    <row r="1415" spans="1:5" x14ac:dyDescent="0.25">
      <c r="A1415" s="5">
        <f>1407</f>
      </c>
      <c r="B1415" s="5" t="s">
        <v>1498</v>
      </c>
      <c r="C1415" s="5" t="s">
        <v>11</v>
      </c>
      <c r="D1415" s="5" t="s">
        <v>12</v>
      </c>
      <c r="E1415" s="5" t="s">
        <v>963</v>
      </c>
    </row>
    <row r="1416" spans="1:5" x14ac:dyDescent="0.25">
      <c r="A1416" s="5">
        <f>1408</f>
      </c>
      <c r="B1416" s="5" t="s">
        <v>1499</v>
      </c>
      <c r="C1416" s="5" t="s">
        <v>11</v>
      </c>
      <c r="D1416" s="5" t="s">
        <v>12</v>
      </c>
      <c r="E1416" s="5" t="s">
        <v>963</v>
      </c>
    </row>
    <row r="1417" spans="1:5" x14ac:dyDescent="0.25">
      <c r="A1417" s="5">
        <f>1409</f>
      </c>
      <c r="B1417" s="5" t="s">
        <v>1500</v>
      </c>
      <c r="C1417" s="5" t="s">
        <v>11</v>
      </c>
      <c r="D1417" s="5" t="s">
        <v>12</v>
      </c>
      <c r="E1417" s="5" t="s">
        <v>963</v>
      </c>
    </row>
    <row r="1418" spans="1:5" x14ac:dyDescent="0.25">
      <c r="A1418" s="5">
        <f>1410</f>
      </c>
      <c r="B1418" s="5" t="s">
        <v>1501</v>
      </c>
      <c r="C1418" s="5" t="s">
        <v>11</v>
      </c>
      <c r="D1418" s="5" t="s">
        <v>12</v>
      </c>
      <c r="E1418" s="5" t="s">
        <v>963</v>
      </c>
    </row>
    <row r="1419" spans="1:5" x14ac:dyDescent="0.25">
      <c r="A1419" s="5">
        <f>1411</f>
      </c>
      <c r="B1419" s="5" t="s">
        <v>1502</v>
      </c>
      <c r="C1419" s="5" t="s">
        <v>11</v>
      </c>
      <c r="D1419" s="5" t="s">
        <v>12</v>
      </c>
      <c r="E1419" s="5" t="s">
        <v>963</v>
      </c>
    </row>
    <row r="1420" spans="1:5" x14ac:dyDescent="0.25">
      <c r="A1420" s="5">
        <f>1412</f>
      </c>
      <c r="B1420" s="5" t="s">
        <v>1503</v>
      </c>
      <c r="C1420" s="5" t="s">
        <v>11</v>
      </c>
      <c r="D1420" s="5" t="s">
        <v>12</v>
      </c>
      <c r="E1420" s="5" t="s">
        <v>963</v>
      </c>
    </row>
    <row r="1421" spans="1:5" x14ac:dyDescent="0.25">
      <c r="A1421" s="5">
        <f>1413</f>
      </c>
      <c r="B1421" s="5" t="s">
        <v>1504</v>
      </c>
      <c r="C1421" s="5" t="s">
        <v>11</v>
      </c>
      <c r="D1421" s="5" t="s">
        <v>12</v>
      </c>
      <c r="E1421" s="5" t="s">
        <v>963</v>
      </c>
    </row>
    <row r="1422" spans="1:5" x14ac:dyDescent="0.25">
      <c r="A1422" s="5">
        <f>1414</f>
      </c>
      <c r="B1422" s="5" t="s">
        <v>1505</v>
      </c>
      <c r="C1422" s="5" t="s">
        <v>11</v>
      </c>
      <c r="D1422" s="5" t="s">
        <v>12</v>
      </c>
      <c r="E1422" s="5" t="s">
        <v>963</v>
      </c>
    </row>
    <row r="1423" spans="1:5" x14ac:dyDescent="0.25">
      <c r="A1423" s="5">
        <f>1415</f>
      </c>
      <c r="B1423" s="5" t="s">
        <v>1506</v>
      </c>
      <c r="C1423" s="5" t="s">
        <v>11</v>
      </c>
      <c r="D1423" s="5" t="s">
        <v>12</v>
      </c>
      <c r="E1423" s="5" t="s">
        <v>963</v>
      </c>
    </row>
    <row r="1424" spans="1:5" x14ac:dyDescent="0.25">
      <c r="A1424" s="5">
        <f>1416</f>
      </c>
      <c r="B1424" s="5" t="s">
        <v>1507</v>
      </c>
      <c r="C1424" s="5" t="s">
        <v>11</v>
      </c>
      <c r="D1424" s="5" t="s">
        <v>12</v>
      </c>
      <c r="E1424" s="5" t="s">
        <v>963</v>
      </c>
    </row>
    <row r="1425" spans="1:5" x14ac:dyDescent="0.25">
      <c r="A1425" s="5">
        <f>1417</f>
      </c>
      <c r="B1425" s="5" t="s">
        <v>1508</v>
      </c>
      <c r="C1425" s="5" t="s">
        <v>11</v>
      </c>
      <c r="D1425" s="5" t="s">
        <v>12</v>
      </c>
      <c r="E1425" s="5" t="s">
        <v>963</v>
      </c>
    </row>
    <row r="1426" spans="1:5" x14ac:dyDescent="0.25">
      <c r="A1426" s="5">
        <f>1418</f>
      </c>
      <c r="B1426" s="5" t="s">
        <v>1509</v>
      </c>
      <c r="C1426" s="5" t="s">
        <v>11</v>
      </c>
      <c r="D1426" s="5" t="s">
        <v>12</v>
      </c>
      <c r="E1426" s="5" t="s">
        <v>963</v>
      </c>
    </row>
    <row r="1427" spans="1:5" x14ac:dyDescent="0.25">
      <c r="A1427" s="5">
        <f>1419</f>
      </c>
      <c r="B1427" s="5" t="s">
        <v>1510</v>
      </c>
      <c r="C1427" s="5" t="s">
        <v>11</v>
      </c>
      <c r="D1427" s="5" t="s">
        <v>12</v>
      </c>
      <c r="E1427" s="5" t="s">
        <v>963</v>
      </c>
    </row>
    <row r="1428" spans="1:5" x14ac:dyDescent="0.25">
      <c r="A1428" s="5">
        <f>1420</f>
      </c>
      <c r="B1428" s="5" t="s">
        <v>1511</v>
      </c>
      <c r="C1428" s="5" t="s">
        <v>11</v>
      </c>
      <c r="D1428" s="5" t="s">
        <v>12</v>
      </c>
      <c r="E1428" s="5" t="s">
        <v>963</v>
      </c>
    </row>
    <row r="1429" spans="1:5" x14ac:dyDescent="0.25">
      <c r="A1429" s="5">
        <f>1421</f>
      </c>
      <c r="B1429" s="5" t="s">
        <v>1512</v>
      </c>
      <c r="C1429" s="5" t="s">
        <v>11</v>
      </c>
      <c r="D1429" s="5" t="s">
        <v>12</v>
      </c>
      <c r="E1429" s="5" t="s">
        <v>963</v>
      </c>
    </row>
    <row r="1430" spans="1:5" x14ac:dyDescent="0.25">
      <c r="A1430" s="5">
        <f>1422</f>
      </c>
      <c r="B1430" s="5" t="s">
        <v>1513</v>
      </c>
      <c r="C1430" s="5" t="s">
        <v>11</v>
      </c>
      <c r="D1430" s="5" t="s">
        <v>12</v>
      </c>
      <c r="E1430" s="5" t="s">
        <v>963</v>
      </c>
    </row>
    <row r="1431" spans="1:5" x14ac:dyDescent="0.25">
      <c r="A1431" s="5">
        <f>1423</f>
      </c>
      <c r="B1431" s="5" t="s">
        <v>1514</v>
      </c>
      <c r="C1431" s="5" t="s">
        <v>11</v>
      </c>
      <c r="D1431" s="5" t="s">
        <v>12</v>
      </c>
      <c r="E1431" s="5" t="s">
        <v>963</v>
      </c>
    </row>
    <row r="1432" spans="1:5" x14ac:dyDescent="0.25">
      <c r="A1432" s="5">
        <f>1424</f>
      </c>
      <c r="B1432" s="5" t="s">
        <v>1515</v>
      </c>
      <c r="C1432" s="5" t="s">
        <v>11</v>
      </c>
      <c r="D1432" s="5" t="s">
        <v>12</v>
      </c>
      <c r="E1432" s="5" t="s">
        <v>963</v>
      </c>
    </row>
    <row r="1433" spans="1:5" x14ac:dyDescent="0.25">
      <c r="A1433" s="5">
        <f>1425</f>
      </c>
      <c r="B1433" s="5" t="s">
        <v>1516</v>
      </c>
      <c r="C1433" s="5" t="s">
        <v>11</v>
      </c>
      <c r="D1433" s="5" t="s">
        <v>12</v>
      </c>
      <c r="E1433" s="5" t="s">
        <v>963</v>
      </c>
    </row>
    <row r="1434" spans="1:5" x14ac:dyDescent="0.25">
      <c r="A1434" s="5">
        <f>1426</f>
      </c>
      <c r="B1434" s="5" t="s">
        <v>1517</v>
      </c>
      <c r="C1434" s="5" t="s">
        <v>11</v>
      </c>
      <c r="D1434" s="5" t="s">
        <v>12</v>
      </c>
      <c r="E1434" s="5" t="s">
        <v>963</v>
      </c>
    </row>
    <row r="1435" spans="1:5" x14ac:dyDescent="0.25">
      <c r="A1435" s="5">
        <f>1427</f>
      </c>
      <c r="B1435" s="5" t="s">
        <v>1518</v>
      </c>
      <c r="C1435" s="5" t="s">
        <v>11</v>
      </c>
      <c r="D1435" s="5" t="s">
        <v>12</v>
      </c>
      <c r="E1435" s="5" t="s">
        <v>963</v>
      </c>
    </row>
    <row r="1436" spans="1:5" x14ac:dyDescent="0.25">
      <c r="A1436" s="5">
        <f>1428</f>
      </c>
      <c r="B1436" s="5" t="s">
        <v>1519</v>
      </c>
      <c r="C1436" s="5" t="s">
        <v>11</v>
      </c>
      <c r="D1436" s="5" t="s">
        <v>12</v>
      </c>
      <c r="E1436" s="5" t="s">
        <v>963</v>
      </c>
    </row>
    <row r="1437" spans="1:5" x14ac:dyDescent="0.25">
      <c r="A1437" s="5">
        <f>1429</f>
      </c>
      <c r="B1437" s="5" t="s">
        <v>1520</v>
      </c>
      <c r="C1437" s="5" t="s">
        <v>11</v>
      </c>
      <c r="D1437" s="5" t="s">
        <v>12</v>
      </c>
      <c r="E1437" s="5" t="s">
        <v>963</v>
      </c>
    </row>
    <row r="1438" spans="1:5" x14ac:dyDescent="0.25">
      <c r="A1438" s="5">
        <f>1430</f>
      </c>
      <c r="B1438" s="5" t="s">
        <v>1521</v>
      </c>
      <c r="C1438" s="5" t="s">
        <v>11</v>
      </c>
      <c r="D1438" s="5" t="s">
        <v>12</v>
      </c>
      <c r="E1438" s="5" t="s">
        <v>963</v>
      </c>
    </row>
    <row r="1439" spans="1:5" x14ac:dyDescent="0.25">
      <c r="A1439" s="5">
        <f>1431</f>
      </c>
      <c r="B1439" s="5" t="s">
        <v>1522</v>
      </c>
      <c r="C1439" s="5" t="s">
        <v>11</v>
      </c>
      <c r="D1439" s="5" t="s">
        <v>12</v>
      </c>
      <c r="E1439" s="5" t="s">
        <v>963</v>
      </c>
    </row>
    <row r="1440" spans="1:5" x14ac:dyDescent="0.25">
      <c r="A1440" s="5">
        <f>1432</f>
      </c>
      <c r="B1440" s="5" t="s">
        <v>1523</v>
      </c>
      <c r="C1440" s="5" t="s">
        <v>11</v>
      </c>
      <c r="D1440" s="5" t="s">
        <v>12</v>
      </c>
      <c r="E1440" s="5" t="s">
        <v>963</v>
      </c>
    </row>
    <row r="1441" spans="1:5" x14ac:dyDescent="0.25">
      <c r="A1441" s="5">
        <f>1433</f>
      </c>
      <c r="B1441" s="5" t="s">
        <v>1524</v>
      </c>
      <c r="C1441" s="5" t="s">
        <v>11</v>
      </c>
      <c r="D1441" s="5" t="s">
        <v>12</v>
      </c>
      <c r="E1441" s="5" t="s">
        <v>963</v>
      </c>
    </row>
    <row r="1442" spans="1:5" x14ac:dyDescent="0.25">
      <c r="A1442" s="5">
        <f>1434</f>
      </c>
      <c r="B1442" s="5" t="s">
        <v>1525</v>
      </c>
      <c r="C1442" s="5" t="s">
        <v>11</v>
      </c>
      <c r="D1442" s="5" t="s">
        <v>12</v>
      </c>
      <c r="E1442" s="5" t="s">
        <v>963</v>
      </c>
    </row>
    <row r="1443" spans="1:5" x14ac:dyDescent="0.25">
      <c r="A1443" s="5">
        <f>1435</f>
      </c>
      <c r="B1443" s="5" t="s">
        <v>1526</v>
      </c>
      <c r="C1443" s="5" t="s">
        <v>11</v>
      </c>
      <c r="D1443" s="5" t="s">
        <v>12</v>
      </c>
      <c r="E1443" s="5" t="s">
        <v>963</v>
      </c>
    </row>
    <row r="1444" spans="1:5" x14ac:dyDescent="0.25">
      <c r="A1444" s="5">
        <f>1436</f>
      </c>
      <c r="B1444" s="5" t="s">
        <v>1527</v>
      </c>
      <c r="C1444" s="5" t="s">
        <v>11</v>
      </c>
      <c r="D1444" s="5" t="s">
        <v>12</v>
      </c>
      <c r="E1444" s="5" t="s">
        <v>963</v>
      </c>
    </row>
    <row r="1445" spans="1:5" x14ac:dyDescent="0.25">
      <c r="A1445" s="5">
        <f>1437</f>
      </c>
      <c r="B1445" s="5" t="s">
        <v>1528</v>
      </c>
      <c r="C1445" s="5" t="s">
        <v>11</v>
      </c>
      <c r="D1445" s="5" t="s">
        <v>12</v>
      </c>
      <c r="E1445" s="5" t="s">
        <v>963</v>
      </c>
    </row>
    <row r="1446" spans="1:5" x14ac:dyDescent="0.25">
      <c r="A1446" s="5">
        <f>1438</f>
      </c>
      <c r="B1446" s="5" t="s">
        <v>1529</v>
      </c>
      <c r="C1446" s="5" t="s">
        <v>11</v>
      </c>
      <c r="D1446" s="5" t="s">
        <v>12</v>
      </c>
      <c r="E1446" s="5" t="s">
        <v>963</v>
      </c>
    </row>
    <row r="1447" spans="1:5" x14ac:dyDescent="0.25">
      <c r="A1447" s="5">
        <f>1439</f>
      </c>
      <c r="B1447" s="5" t="s">
        <v>1530</v>
      </c>
      <c r="C1447" s="5" t="s">
        <v>11</v>
      </c>
      <c r="D1447" s="5" t="s">
        <v>12</v>
      </c>
      <c r="E1447" s="5" t="s">
        <v>963</v>
      </c>
    </row>
    <row r="1448" spans="1:5" x14ac:dyDescent="0.25">
      <c r="A1448" s="5">
        <f>1440</f>
      </c>
      <c r="B1448" s="5" t="s">
        <v>1531</v>
      </c>
      <c r="C1448" s="5" t="s">
        <v>11</v>
      </c>
      <c r="D1448" s="5" t="s">
        <v>12</v>
      </c>
      <c r="E1448" s="5" t="s">
        <v>963</v>
      </c>
    </row>
    <row r="1449" spans="1:5" x14ac:dyDescent="0.25">
      <c r="A1449" s="5">
        <f>1441</f>
      </c>
      <c r="B1449" s="5" t="s">
        <v>1532</v>
      </c>
      <c r="C1449" s="5" t="s">
        <v>11</v>
      </c>
      <c r="D1449" s="5" t="s">
        <v>12</v>
      </c>
      <c r="E1449" s="5" t="s">
        <v>963</v>
      </c>
    </row>
    <row r="1450" spans="1:5" x14ac:dyDescent="0.25">
      <c r="A1450" s="5">
        <f>1442</f>
      </c>
      <c r="B1450" s="5" t="s">
        <v>1533</v>
      </c>
      <c r="C1450" s="5" t="s">
        <v>11</v>
      </c>
      <c r="D1450" s="5" t="s">
        <v>12</v>
      </c>
      <c r="E1450" s="5" t="s">
        <v>963</v>
      </c>
    </row>
    <row r="1451" spans="1:5" x14ac:dyDescent="0.25">
      <c r="A1451" s="5">
        <f>1443</f>
      </c>
      <c r="B1451" s="5" t="s">
        <v>1534</v>
      </c>
      <c r="C1451" s="5" t="s">
        <v>11</v>
      </c>
      <c r="D1451" s="5" t="s">
        <v>12</v>
      </c>
      <c r="E1451" s="5" t="s">
        <v>963</v>
      </c>
    </row>
    <row r="1452" spans="1:5" x14ac:dyDescent="0.25">
      <c r="A1452" s="5">
        <f>1444</f>
      </c>
      <c r="B1452" s="5" t="s">
        <v>1535</v>
      </c>
      <c r="C1452" s="5" t="s">
        <v>11</v>
      </c>
      <c r="D1452" s="5" t="s">
        <v>12</v>
      </c>
      <c r="E1452" s="5" t="s">
        <v>963</v>
      </c>
    </row>
    <row r="1453" spans="1:5" x14ac:dyDescent="0.25">
      <c r="A1453" s="5">
        <f>1445</f>
      </c>
      <c r="B1453" s="5" t="s">
        <v>1536</v>
      </c>
      <c r="C1453" s="5" t="s">
        <v>11</v>
      </c>
      <c r="D1453" s="5" t="s">
        <v>12</v>
      </c>
      <c r="E1453" s="5" t="s">
        <v>963</v>
      </c>
    </row>
    <row r="1454" spans="1:5" x14ac:dyDescent="0.25">
      <c r="A1454" s="5">
        <f>1446</f>
      </c>
      <c r="B1454" s="5" t="s">
        <v>1537</v>
      </c>
      <c r="C1454" s="5" t="s">
        <v>11</v>
      </c>
      <c r="D1454" s="5" t="s">
        <v>12</v>
      </c>
      <c r="E1454" s="5" t="s">
        <v>963</v>
      </c>
    </row>
    <row r="1455" spans="1:5" x14ac:dyDescent="0.25">
      <c r="A1455" s="5">
        <f>1447</f>
      </c>
      <c r="B1455" s="5" t="s">
        <v>1538</v>
      </c>
      <c r="C1455" s="5" t="s">
        <v>11</v>
      </c>
      <c r="D1455" s="5" t="s">
        <v>12</v>
      </c>
      <c r="E1455" s="5" t="s">
        <v>963</v>
      </c>
    </row>
    <row r="1456" spans="1:5" x14ac:dyDescent="0.25">
      <c r="A1456" s="5">
        <f>1448</f>
      </c>
      <c r="B1456" s="5" t="s">
        <v>1539</v>
      </c>
      <c r="C1456" s="5" t="s">
        <v>11</v>
      </c>
      <c r="D1456" s="5" t="s">
        <v>12</v>
      </c>
      <c r="E1456" s="5" t="s">
        <v>963</v>
      </c>
    </row>
    <row r="1457" spans="1:5" x14ac:dyDescent="0.25">
      <c r="A1457" s="5">
        <f>1449</f>
      </c>
      <c r="B1457" s="5" t="s">
        <v>1540</v>
      </c>
      <c r="C1457" s="5" t="s">
        <v>11</v>
      </c>
      <c r="D1457" s="5" t="s">
        <v>12</v>
      </c>
      <c r="E1457" s="5" t="s">
        <v>963</v>
      </c>
    </row>
    <row r="1458" spans="1:5" x14ac:dyDescent="0.25">
      <c r="A1458" s="5">
        <f>1450</f>
      </c>
      <c r="B1458" s="5" t="s">
        <v>1541</v>
      </c>
      <c r="C1458" s="5" t="s">
        <v>11</v>
      </c>
      <c r="D1458" s="5" t="s">
        <v>12</v>
      </c>
      <c r="E1458" s="5" t="s">
        <v>963</v>
      </c>
    </row>
    <row r="1459" spans="1:5" x14ac:dyDescent="0.25">
      <c r="A1459" s="5">
        <f>1451</f>
      </c>
      <c r="B1459" s="5" t="s">
        <v>1542</v>
      </c>
      <c r="C1459" s="5" t="s">
        <v>11</v>
      </c>
      <c r="D1459" s="5" t="s">
        <v>12</v>
      </c>
      <c r="E1459" s="5" t="s">
        <v>963</v>
      </c>
    </row>
    <row r="1460" spans="1:5" x14ac:dyDescent="0.25">
      <c r="A1460" s="5">
        <f>1452</f>
      </c>
      <c r="B1460" s="5" t="s">
        <v>1543</v>
      </c>
      <c r="C1460" s="5" t="s">
        <v>11</v>
      </c>
      <c r="D1460" s="5" t="s">
        <v>12</v>
      </c>
      <c r="E1460" s="5" t="s">
        <v>963</v>
      </c>
    </row>
    <row r="1461" spans="1:5" x14ac:dyDescent="0.25">
      <c r="A1461" s="5">
        <f>1453</f>
      </c>
      <c r="B1461" s="5" t="s">
        <v>1544</v>
      </c>
      <c r="C1461" s="5" t="s">
        <v>11</v>
      </c>
      <c r="D1461" s="5" t="s">
        <v>12</v>
      </c>
      <c r="E1461" s="5" t="s">
        <v>963</v>
      </c>
    </row>
    <row r="1462" spans="1:5" x14ac:dyDescent="0.25">
      <c r="A1462" s="5">
        <f>1454</f>
      </c>
      <c r="B1462" s="5" t="s">
        <v>1545</v>
      </c>
      <c r="C1462" s="5" t="s">
        <v>11</v>
      </c>
      <c r="D1462" s="5" t="s">
        <v>12</v>
      </c>
      <c r="E1462" s="5" t="s">
        <v>963</v>
      </c>
    </row>
    <row r="1463" spans="1:5" x14ac:dyDescent="0.25">
      <c r="A1463" s="5">
        <f>1455</f>
      </c>
      <c r="B1463" s="5" t="s">
        <v>1546</v>
      </c>
      <c r="C1463" s="5" t="s">
        <v>11</v>
      </c>
      <c r="D1463" s="5" t="s">
        <v>12</v>
      </c>
      <c r="E1463" s="5" t="s">
        <v>963</v>
      </c>
    </row>
    <row r="1464" spans="1:5" x14ac:dyDescent="0.25">
      <c r="A1464" s="5">
        <f>1456</f>
      </c>
      <c r="B1464" s="5" t="s">
        <v>1547</v>
      </c>
      <c r="C1464" s="5" t="s">
        <v>11</v>
      </c>
      <c r="D1464" s="5" t="s">
        <v>12</v>
      </c>
      <c r="E1464" s="5" t="s">
        <v>963</v>
      </c>
    </row>
    <row r="1465" spans="1:5" x14ac:dyDescent="0.25">
      <c r="A1465" s="5">
        <f>1457</f>
      </c>
      <c r="B1465" s="5" t="s">
        <v>1548</v>
      </c>
      <c r="C1465" s="5" t="s">
        <v>11</v>
      </c>
      <c r="D1465" s="5" t="s">
        <v>12</v>
      </c>
      <c r="E1465" s="5" t="s">
        <v>963</v>
      </c>
    </row>
    <row r="1466" spans="1:5" x14ac:dyDescent="0.25">
      <c r="A1466" s="5">
        <f>1458</f>
      </c>
      <c r="B1466" s="5" t="s">
        <v>1549</v>
      </c>
      <c r="C1466" s="5" t="s">
        <v>11</v>
      </c>
      <c r="D1466" s="5" t="s">
        <v>12</v>
      </c>
      <c r="E1466" s="5" t="s">
        <v>963</v>
      </c>
    </row>
    <row r="1467" spans="1:5" x14ac:dyDescent="0.25">
      <c r="A1467" s="5">
        <f>1459</f>
      </c>
      <c r="B1467" s="5" t="s">
        <v>1550</v>
      </c>
      <c r="C1467" s="5" t="s">
        <v>11</v>
      </c>
      <c r="D1467" s="5" t="s">
        <v>12</v>
      </c>
      <c r="E1467" s="5" t="s">
        <v>963</v>
      </c>
    </row>
    <row r="1468" spans="1:5" x14ac:dyDescent="0.25">
      <c r="A1468" s="5">
        <f>1460</f>
      </c>
      <c r="B1468" s="5" t="s">
        <v>1551</v>
      </c>
      <c r="C1468" s="5" t="s">
        <v>11</v>
      </c>
      <c r="D1468" s="5" t="s">
        <v>12</v>
      </c>
      <c r="E1468" s="5" t="s">
        <v>963</v>
      </c>
    </row>
    <row r="1469" spans="1:5" x14ac:dyDescent="0.25">
      <c r="A1469" s="5">
        <f>1461</f>
      </c>
      <c r="B1469" s="5" t="s">
        <v>1552</v>
      </c>
      <c r="C1469" s="5" t="s">
        <v>11</v>
      </c>
      <c r="D1469" s="5" t="s">
        <v>12</v>
      </c>
      <c r="E1469" s="5" t="s">
        <v>963</v>
      </c>
    </row>
    <row r="1470" spans="1:5" x14ac:dyDescent="0.25">
      <c r="A1470" s="5">
        <f>1462</f>
      </c>
      <c r="B1470" s="5" t="s">
        <v>1553</v>
      </c>
      <c r="C1470" s="5" t="s">
        <v>11</v>
      </c>
      <c r="D1470" s="5" t="s">
        <v>12</v>
      </c>
      <c r="E1470" s="5" t="s">
        <v>963</v>
      </c>
    </row>
    <row r="1471" spans="1:5" x14ac:dyDescent="0.25">
      <c r="A1471" s="5">
        <f>1463</f>
      </c>
      <c r="B1471" s="5" t="s">
        <v>1554</v>
      </c>
      <c r="C1471" s="5" t="s">
        <v>11</v>
      </c>
      <c r="D1471" s="5" t="s">
        <v>12</v>
      </c>
      <c r="E1471" s="5" t="s">
        <v>963</v>
      </c>
    </row>
    <row r="1472" spans="1:5" x14ac:dyDescent="0.25">
      <c r="A1472" s="5">
        <f>1464</f>
      </c>
      <c r="B1472" s="5" t="s">
        <v>1555</v>
      </c>
      <c r="C1472" s="5" t="s">
        <v>11</v>
      </c>
      <c r="D1472" s="5" t="s">
        <v>12</v>
      </c>
      <c r="E1472" s="5" t="s">
        <v>963</v>
      </c>
    </row>
    <row r="1473" spans="1:5" x14ac:dyDescent="0.25">
      <c r="A1473" s="5">
        <f>1465</f>
      </c>
      <c r="B1473" s="5" t="s">
        <v>1556</v>
      </c>
      <c r="C1473" s="5" t="s">
        <v>11</v>
      </c>
      <c r="D1473" s="5" t="s">
        <v>12</v>
      </c>
      <c r="E1473" s="5" t="s">
        <v>963</v>
      </c>
    </row>
    <row r="1474" spans="1:5" x14ac:dyDescent="0.25">
      <c r="A1474" s="5">
        <f>1466</f>
      </c>
      <c r="B1474" s="5" t="s">
        <v>1557</v>
      </c>
      <c r="C1474" s="5" t="s">
        <v>11</v>
      </c>
      <c r="D1474" s="5" t="s">
        <v>12</v>
      </c>
      <c r="E1474" s="5" t="s">
        <v>963</v>
      </c>
    </row>
    <row r="1475" spans="1:5" x14ac:dyDescent="0.25">
      <c r="A1475" s="5">
        <f>1467</f>
      </c>
      <c r="B1475" s="5" t="s">
        <v>1558</v>
      </c>
      <c r="C1475" s="5" t="s">
        <v>11</v>
      </c>
      <c r="D1475" s="5" t="s">
        <v>12</v>
      </c>
      <c r="E1475" s="5" t="s">
        <v>963</v>
      </c>
    </row>
    <row r="1476" spans="1:5" x14ac:dyDescent="0.25">
      <c r="A1476" s="5">
        <f>1468</f>
      </c>
      <c r="B1476" s="5" t="s">
        <v>1559</v>
      </c>
      <c r="C1476" s="5" t="s">
        <v>11</v>
      </c>
      <c r="D1476" s="5" t="s">
        <v>12</v>
      </c>
      <c r="E1476" s="5" t="s">
        <v>963</v>
      </c>
    </row>
    <row r="1477" spans="1:5" x14ac:dyDescent="0.25">
      <c r="A1477" s="5">
        <f>1469</f>
      </c>
      <c r="B1477" s="5" t="s">
        <v>1560</v>
      </c>
      <c r="C1477" s="5" t="s">
        <v>11</v>
      </c>
      <c r="D1477" s="5" t="s">
        <v>12</v>
      </c>
      <c r="E1477" s="5" t="s">
        <v>963</v>
      </c>
    </row>
    <row r="1478" spans="1:5" x14ac:dyDescent="0.25">
      <c r="A1478" s="5">
        <f>1470</f>
      </c>
      <c r="B1478" s="5" t="s">
        <v>1561</v>
      </c>
      <c r="C1478" s="5" t="s">
        <v>11</v>
      </c>
      <c r="D1478" s="5" t="s">
        <v>12</v>
      </c>
      <c r="E1478" s="5" t="s">
        <v>963</v>
      </c>
    </row>
    <row r="1479" spans="1:5" x14ac:dyDescent="0.25">
      <c r="A1479" s="5">
        <f>1471</f>
      </c>
      <c r="B1479" s="5" t="s">
        <v>1562</v>
      </c>
      <c r="C1479" s="5" t="s">
        <v>11</v>
      </c>
      <c r="D1479" s="5" t="s">
        <v>12</v>
      </c>
      <c r="E1479" s="5" t="s">
        <v>963</v>
      </c>
    </row>
    <row r="1480" spans="1:5" x14ac:dyDescent="0.25">
      <c r="A1480" s="5">
        <f>1472</f>
      </c>
      <c r="B1480" s="5" t="s">
        <v>1563</v>
      </c>
      <c r="C1480" s="5" t="s">
        <v>11</v>
      </c>
      <c r="D1480" s="5" t="s">
        <v>12</v>
      </c>
      <c r="E1480" s="5" t="s">
        <v>963</v>
      </c>
    </row>
    <row r="1481" spans="1:5" x14ac:dyDescent="0.25">
      <c r="A1481" s="5">
        <f>1473</f>
      </c>
      <c r="B1481" s="5" t="s">
        <v>1564</v>
      </c>
      <c r="C1481" s="5" t="s">
        <v>11</v>
      </c>
      <c r="D1481" s="5" t="s">
        <v>12</v>
      </c>
      <c r="E1481" s="5" t="s">
        <v>963</v>
      </c>
    </row>
    <row r="1482" spans="1:5" x14ac:dyDescent="0.25">
      <c r="A1482" s="5">
        <f>1474</f>
      </c>
      <c r="B1482" s="5" t="s">
        <v>1565</v>
      </c>
      <c r="C1482" s="5" t="s">
        <v>11</v>
      </c>
      <c r="D1482" s="5" t="s">
        <v>12</v>
      </c>
      <c r="E1482" s="5" t="s">
        <v>963</v>
      </c>
    </row>
    <row r="1483" spans="1:5" x14ac:dyDescent="0.25">
      <c r="A1483" s="5">
        <f>1475</f>
      </c>
      <c r="B1483" s="5" t="s">
        <v>1566</v>
      </c>
      <c r="C1483" s="5" t="s">
        <v>11</v>
      </c>
      <c r="D1483" s="5" t="s">
        <v>12</v>
      </c>
      <c r="E1483" s="5" t="s">
        <v>963</v>
      </c>
    </row>
    <row r="1484" spans="1:5" x14ac:dyDescent="0.25">
      <c r="A1484" s="5">
        <f>1476</f>
      </c>
      <c r="B1484" s="5" t="s">
        <v>1567</v>
      </c>
      <c r="C1484" s="5" t="s">
        <v>11</v>
      </c>
      <c r="D1484" s="5" t="s">
        <v>12</v>
      </c>
      <c r="E1484" s="5" t="s">
        <v>963</v>
      </c>
    </row>
    <row r="1485" spans="1:5" x14ac:dyDescent="0.25">
      <c r="A1485" s="5">
        <f>1477</f>
      </c>
      <c r="B1485" s="5" t="s">
        <v>1568</v>
      </c>
      <c r="C1485" s="5" t="s">
        <v>11</v>
      </c>
      <c r="D1485" s="5" t="s">
        <v>12</v>
      </c>
      <c r="E1485" s="5" t="s">
        <v>963</v>
      </c>
    </row>
    <row r="1486" spans="1:5" x14ac:dyDescent="0.25">
      <c r="A1486" s="5">
        <f>1478</f>
      </c>
      <c r="B1486" s="5" t="s">
        <v>1569</v>
      </c>
      <c r="C1486" s="5" t="s">
        <v>11</v>
      </c>
      <c r="D1486" s="5" t="s">
        <v>12</v>
      </c>
      <c r="E1486" s="5" t="s">
        <v>963</v>
      </c>
    </row>
    <row r="1487" spans="1:5" x14ac:dyDescent="0.25">
      <c r="A1487" s="5">
        <f>1479</f>
      </c>
      <c r="B1487" s="5" t="s">
        <v>1570</v>
      </c>
      <c r="C1487" s="5" t="s">
        <v>11</v>
      </c>
      <c r="D1487" s="5" t="s">
        <v>12</v>
      </c>
      <c r="E1487" s="5" t="s">
        <v>963</v>
      </c>
    </row>
    <row r="1488" spans="1:5" x14ac:dyDescent="0.25">
      <c r="A1488" s="5">
        <f>1480</f>
      </c>
      <c r="B1488" s="5" t="s">
        <v>1571</v>
      </c>
      <c r="C1488" s="5" t="s">
        <v>11</v>
      </c>
      <c r="D1488" s="5" t="s">
        <v>12</v>
      </c>
      <c r="E1488" s="5" t="s">
        <v>963</v>
      </c>
    </row>
    <row r="1489" spans="1:5" x14ac:dyDescent="0.25">
      <c r="A1489" s="5">
        <f>1481</f>
      </c>
      <c r="B1489" s="5" t="s">
        <v>1572</v>
      </c>
      <c r="C1489" s="5" t="s">
        <v>11</v>
      </c>
      <c r="D1489" s="5" t="s">
        <v>12</v>
      </c>
      <c r="E1489" s="5" t="s">
        <v>963</v>
      </c>
    </row>
    <row r="1490" spans="1:5" x14ac:dyDescent="0.25">
      <c r="A1490" s="5">
        <f>1482</f>
      </c>
      <c r="B1490" s="5" t="s">
        <v>1573</v>
      </c>
      <c r="C1490" s="5" t="s">
        <v>11</v>
      </c>
      <c r="D1490" s="5" t="s">
        <v>12</v>
      </c>
      <c r="E1490" s="5" t="s">
        <v>963</v>
      </c>
    </row>
    <row r="1491" spans="1:5" x14ac:dyDescent="0.25">
      <c r="A1491" s="5">
        <f>1483</f>
      </c>
      <c r="B1491" s="5" t="s">
        <v>1574</v>
      </c>
      <c r="C1491" s="5" t="s">
        <v>11</v>
      </c>
      <c r="D1491" s="5" t="s">
        <v>12</v>
      </c>
      <c r="E1491" s="5" t="s">
        <v>963</v>
      </c>
    </row>
    <row r="1492" spans="1:5" x14ac:dyDescent="0.25">
      <c r="A1492" s="5">
        <f>1484</f>
      </c>
      <c r="B1492" s="5" t="s">
        <v>1575</v>
      </c>
      <c r="C1492" s="5" t="s">
        <v>11</v>
      </c>
      <c r="D1492" s="5" t="s">
        <v>12</v>
      </c>
      <c r="E1492" s="5" t="s">
        <v>963</v>
      </c>
    </row>
    <row r="1493" spans="1:5" x14ac:dyDescent="0.25">
      <c r="A1493" s="5">
        <f>1485</f>
      </c>
      <c r="B1493" s="5" t="s">
        <v>1576</v>
      </c>
      <c r="C1493" s="5" t="s">
        <v>11</v>
      </c>
      <c r="D1493" s="5" t="s">
        <v>12</v>
      </c>
      <c r="E1493" s="5" t="s">
        <v>963</v>
      </c>
    </row>
    <row r="1494" spans="1:5" x14ac:dyDescent="0.25">
      <c r="A1494" s="5">
        <f>1486</f>
      </c>
      <c r="B1494" s="5" t="s">
        <v>1577</v>
      </c>
      <c r="C1494" s="5" t="s">
        <v>11</v>
      </c>
      <c r="D1494" s="5" t="s">
        <v>12</v>
      </c>
      <c r="E1494" s="5" t="s">
        <v>963</v>
      </c>
    </row>
    <row r="1495" spans="1:5" x14ac:dyDescent="0.25">
      <c r="A1495" s="5">
        <f>1487</f>
      </c>
      <c r="B1495" s="5" t="s">
        <v>1578</v>
      </c>
      <c r="C1495" s="5" t="s">
        <v>11</v>
      </c>
      <c r="D1495" s="5" t="s">
        <v>12</v>
      </c>
      <c r="E1495" s="5" t="s">
        <v>963</v>
      </c>
    </row>
    <row r="1496" spans="1:5" x14ac:dyDescent="0.25">
      <c r="A1496" s="5">
        <f>1488</f>
      </c>
      <c r="B1496" s="5" t="s">
        <v>1579</v>
      </c>
      <c r="C1496" s="5" t="s">
        <v>11</v>
      </c>
      <c r="D1496" s="5" t="s">
        <v>12</v>
      </c>
      <c r="E1496" s="5" t="s">
        <v>963</v>
      </c>
    </row>
    <row r="1497" spans="1:5" x14ac:dyDescent="0.25">
      <c r="A1497" s="5">
        <f>1489</f>
      </c>
      <c r="B1497" s="5" t="s">
        <v>1580</v>
      </c>
      <c r="C1497" s="5" t="s">
        <v>11</v>
      </c>
      <c r="D1497" s="5" t="s">
        <v>12</v>
      </c>
      <c r="E1497" s="5" t="s">
        <v>963</v>
      </c>
    </row>
    <row r="1498" spans="1:5" x14ac:dyDescent="0.25">
      <c r="A1498" s="5">
        <f>1490</f>
      </c>
      <c r="B1498" s="5" t="s">
        <v>1581</v>
      </c>
      <c r="C1498" s="5" t="s">
        <v>11</v>
      </c>
      <c r="D1498" s="5" t="s">
        <v>12</v>
      </c>
      <c r="E1498" s="5" t="s">
        <v>963</v>
      </c>
    </row>
    <row r="1499" spans="1:5" x14ac:dyDescent="0.25">
      <c r="A1499" s="5">
        <f>1491</f>
      </c>
      <c r="B1499" s="5" t="s">
        <v>1582</v>
      </c>
      <c r="C1499" s="5" t="s">
        <v>11</v>
      </c>
      <c r="D1499" s="5" t="s">
        <v>12</v>
      </c>
      <c r="E1499" s="5" t="s">
        <v>963</v>
      </c>
    </row>
    <row r="1500" spans="1:5" x14ac:dyDescent="0.25">
      <c r="A1500" s="5">
        <f>1492</f>
      </c>
      <c r="B1500" s="5" t="s">
        <v>1583</v>
      </c>
      <c r="C1500" s="5" t="s">
        <v>11</v>
      </c>
      <c r="D1500" s="5" t="s">
        <v>12</v>
      </c>
      <c r="E1500" s="5" t="s">
        <v>963</v>
      </c>
    </row>
    <row r="1501" spans="1:5" x14ac:dyDescent="0.25">
      <c r="A1501" s="5">
        <f>1493</f>
      </c>
      <c r="B1501" s="5" t="s">
        <v>1584</v>
      </c>
      <c r="C1501" s="5" t="s">
        <v>11</v>
      </c>
      <c r="D1501" s="5" t="s">
        <v>12</v>
      </c>
      <c r="E1501" s="5" t="s">
        <v>963</v>
      </c>
    </row>
    <row r="1502" spans="1:5" x14ac:dyDescent="0.25">
      <c r="A1502" s="5">
        <f>1494</f>
      </c>
      <c r="B1502" s="5" t="s">
        <v>1585</v>
      </c>
      <c r="C1502" s="5" t="s">
        <v>11</v>
      </c>
      <c r="D1502" s="5" t="s">
        <v>12</v>
      </c>
      <c r="E1502" s="5" t="s">
        <v>963</v>
      </c>
    </row>
    <row r="1503" spans="1:5" x14ac:dyDescent="0.25">
      <c r="A1503" s="5">
        <f>1495</f>
      </c>
      <c r="B1503" s="5" t="s">
        <v>1586</v>
      </c>
      <c r="C1503" s="5" t="s">
        <v>11</v>
      </c>
      <c r="D1503" s="5" t="s">
        <v>12</v>
      </c>
      <c r="E1503" s="5" t="s">
        <v>963</v>
      </c>
    </row>
    <row r="1504" spans="1:5" x14ac:dyDescent="0.25">
      <c r="A1504" s="5">
        <f>1496</f>
      </c>
      <c r="B1504" s="5" t="s">
        <v>1587</v>
      </c>
      <c r="C1504" s="5" t="s">
        <v>11</v>
      </c>
      <c r="D1504" s="5" t="s">
        <v>12</v>
      </c>
      <c r="E1504" s="5" t="s">
        <v>963</v>
      </c>
    </row>
    <row r="1505" spans="1:5" x14ac:dyDescent="0.25">
      <c r="A1505" s="5">
        <f>1497</f>
      </c>
      <c r="B1505" s="5" t="s">
        <v>1588</v>
      </c>
      <c r="C1505" s="5" t="s">
        <v>11</v>
      </c>
      <c r="D1505" s="5" t="s">
        <v>12</v>
      </c>
      <c r="E1505" s="5" t="s">
        <v>963</v>
      </c>
    </row>
    <row r="1506" spans="1:5" x14ac:dyDescent="0.25">
      <c r="A1506" s="5">
        <f>1498</f>
      </c>
      <c r="B1506" s="5" t="s">
        <v>1589</v>
      </c>
      <c r="C1506" s="5" t="s">
        <v>11</v>
      </c>
      <c r="D1506" s="5" t="s">
        <v>12</v>
      </c>
      <c r="E1506" s="5" t="s">
        <v>963</v>
      </c>
    </row>
    <row r="1507" spans="1:5" x14ac:dyDescent="0.25">
      <c r="A1507" s="5">
        <f>1499</f>
      </c>
      <c r="B1507" s="5" t="s">
        <v>1590</v>
      </c>
      <c r="C1507" s="5" t="s">
        <v>11</v>
      </c>
      <c r="D1507" s="5" t="s">
        <v>12</v>
      </c>
      <c r="E1507" s="5" t="s">
        <v>963</v>
      </c>
    </row>
    <row r="1508" spans="1:5" x14ac:dyDescent="0.25">
      <c r="A1508" s="5">
        <f>1500</f>
      </c>
      <c r="B1508" s="5" t="s">
        <v>1591</v>
      </c>
      <c r="C1508" s="5" t="s">
        <v>11</v>
      </c>
      <c r="D1508" s="5" t="s">
        <v>12</v>
      </c>
      <c r="E1508" s="5" t="s">
        <v>963</v>
      </c>
    </row>
    <row r="1509" spans="1:5" x14ac:dyDescent="0.25">
      <c r="A1509" s="5">
        <f>1501</f>
      </c>
      <c r="B1509" s="5" t="s">
        <v>1592</v>
      </c>
      <c r="C1509" s="5" t="s">
        <v>11</v>
      </c>
      <c r="D1509" s="5" t="s">
        <v>12</v>
      </c>
      <c r="E1509" s="5" t="s">
        <v>963</v>
      </c>
    </row>
    <row r="1510" spans="1:5" x14ac:dyDescent="0.25">
      <c r="A1510" s="5">
        <f>1502</f>
      </c>
      <c r="B1510" s="5" t="s">
        <v>1593</v>
      </c>
      <c r="C1510" s="5" t="s">
        <v>11</v>
      </c>
      <c r="D1510" s="5" t="s">
        <v>12</v>
      </c>
      <c r="E1510" s="5" t="s">
        <v>963</v>
      </c>
    </row>
    <row r="1511" spans="1:5" x14ac:dyDescent="0.25">
      <c r="A1511" s="5">
        <f>1503</f>
      </c>
      <c r="B1511" s="5" t="s">
        <v>1594</v>
      </c>
      <c r="C1511" s="5" t="s">
        <v>11</v>
      </c>
      <c r="D1511" s="5" t="s">
        <v>12</v>
      </c>
      <c r="E1511" s="5" t="s">
        <v>963</v>
      </c>
    </row>
    <row r="1512" spans="1:5" x14ac:dyDescent="0.25">
      <c r="A1512" s="5">
        <f>1504</f>
      </c>
      <c r="B1512" s="5" t="s">
        <v>1595</v>
      </c>
      <c r="C1512" s="5" t="s">
        <v>11</v>
      </c>
      <c r="D1512" s="5" t="s">
        <v>12</v>
      </c>
      <c r="E1512" s="5" t="s">
        <v>963</v>
      </c>
    </row>
    <row r="1513" spans="1:5" x14ac:dyDescent="0.25">
      <c r="A1513" s="5">
        <f>1505</f>
      </c>
      <c r="B1513" s="5" t="s">
        <v>1596</v>
      </c>
      <c r="C1513" s="5" t="s">
        <v>11</v>
      </c>
      <c r="D1513" s="5" t="s">
        <v>12</v>
      </c>
      <c r="E1513" s="5" t="s">
        <v>963</v>
      </c>
    </row>
    <row r="1514" spans="1:5" x14ac:dyDescent="0.25">
      <c r="A1514" s="5">
        <f>1506</f>
      </c>
      <c r="B1514" s="5" t="s">
        <v>1597</v>
      </c>
      <c r="C1514" s="5" t="s">
        <v>11</v>
      </c>
      <c r="D1514" s="5" t="s">
        <v>12</v>
      </c>
      <c r="E1514" s="5" t="s">
        <v>963</v>
      </c>
    </row>
    <row r="1515" spans="1:5" x14ac:dyDescent="0.25">
      <c r="A1515" s="5">
        <f>1507</f>
      </c>
      <c r="B1515" s="5" t="s">
        <v>1598</v>
      </c>
      <c r="C1515" s="5" t="s">
        <v>11</v>
      </c>
      <c r="D1515" s="5" t="s">
        <v>12</v>
      </c>
      <c r="E1515" s="5" t="s">
        <v>963</v>
      </c>
    </row>
    <row r="1516" spans="1:5" x14ac:dyDescent="0.25">
      <c r="A1516" s="5">
        <f>1508</f>
      </c>
      <c r="B1516" s="5" t="s">
        <v>1599</v>
      </c>
      <c r="C1516" s="5" t="s">
        <v>11</v>
      </c>
      <c r="D1516" s="5" t="s">
        <v>12</v>
      </c>
      <c r="E1516" s="5" t="s">
        <v>963</v>
      </c>
    </row>
    <row r="1517" spans="1:5" x14ac:dyDescent="0.25">
      <c r="A1517" s="5">
        <f>1509</f>
      </c>
      <c r="B1517" s="5" t="s">
        <v>1600</v>
      </c>
      <c r="C1517" s="5" t="s">
        <v>11</v>
      </c>
      <c r="D1517" s="5" t="s">
        <v>12</v>
      </c>
      <c r="E1517" s="5" t="s">
        <v>963</v>
      </c>
    </row>
    <row r="1518" spans="1:5" x14ac:dyDescent="0.25">
      <c r="A1518" s="5">
        <f>1510</f>
      </c>
      <c r="B1518" s="5" t="s">
        <v>1601</v>
      </c>
      <c r="C1518" s="5" t="s">
        <v>11</v>
      </c>
      <c r="D1518" s="5" t="s">
        <v>12</v>
      </c>
      <c r="E1518" s="5" t="s">
        <v>963</v>
      </c>
    </row>
    <row r="1519" spans="1:5" x14ac:dyDescent="0.25">
      <c r="A1519" s="5">
        <f>1511</f>
      </c>
      <c r="B1519" s="5" t="s">
        <v>1602</v>
      </c>
      <c r="C1519" s="5" t="s">
        <v>11</v>
      </c>
      <c r="D1519" s="5" t="s">
        <v>12</v>
      </c>
      <c r="E1519" s="5" t="s">
        <v>963</v>
      </c>
    </row>
    <row r="1520" spans="1:5" x14ac:dyDescent="0.25">
      <c r="A1520" s="5">
        <f>1512</f>
      </c>
      <c r="B1520" s="5" t="s">
        <v>1603</v>
      </c>
      <c r="C1520" s="5" t="s">
        <v>11</v>
      </c>
      <c r="D1520" s="5" t="s">
        <v>12</v>
      </c>
      <c r="E1520" s="5" t="s">
        <v>963</v>
      </c>
    </row>
    <row r="1521" spans="1:5" x14ac:dyDescent="0.25">
      <c r="A1521" s="5">
        <f>1513</f>
      </c>
      <c r="B1521" s="5" t="s">
        <v>1604</v>
      </c>
      <c r="C1521" s="5" t="s">
        <v>11</v>
      </c>
      <c r="D1521" s="5" t="s">
        <v>12</v>
      </c>
      <c r="E1521" s="5" t="s">
        <v>963</v>
      </c>
    </row>
    <row r="1522" spans="1:5" x14ac:dyDescent="0.25">
      <c r="A1522" s="5">
        <f>1514</f>
      </c>
      <c r="B1522" s="5" t="s">
        <v>1605</v>
      </c>
      <c r="C1522" s="5" t="s">
        <v>11</v>
      </c>
      <c r="D1522" s="5" t="s">
        <v>12</v>
      </c>
      <c r="E1522" s="5" t="s">
        <v>963</v>
      </c>
    </row>
    <row r="1523" spans="1:5" x14ac:dyDescent="0.25">
      <c r="A1523" s="5">
        <f>1515</f>
      </c>
      <c r="B1523" s="5" t="s">
        <v>1606</v>
      </c>
      <c r="C1523" s="5" t="s">
        <v>11</v>
      </c>
      <c r="D1523" s="5" t="s">
        <v>12</v>
      </c>
      <c r="E1523" s="5" t="s">
        <v>963</v>
      </c>
    </row>
    <row r="1524" spans="1:5" x14ac:dyDescent="0.25">
      <c r="A1524" s="5">
        <f>1516</f>
      </c>
      <c r="B1524" s="5" t="s">
        <v>1607</v>
      </c>
      <c r="C1524" s="5" t="s">
        <v>11</v>
      </c>
      <c r="D1524" s="5" t="s">
        <v>12</v>
      </c>
      <c r="E1524" s="5" t="s">
        <v>963</v>
      </c>
    </row>
    <row r="1525" spans="1:5" x14ac:dyDescent="0.25">
      <c r="A1525" s="5">
        <f>1517</f>
      </c>
      <c r="B1525" s="5" t="s">
        <v>1608</v>
      </c>
      <c r="C1525" s="5" t="s">
        <v>11</v>
      </c>
      <c r="D1525" s="5" t="s">
        <v>12</v>
      </c>
      <c r="E1525" s="5" t="s">
        <v>963</v>
      </c>
    </row>
    <row r="1526" spans="1:5" x14ac:dyDescent="0.25">
      <c r="A1526" s="5">
        <f>1518</f>
      </c>
      <c r="B1526" s="5" t="s">
        <v>1609</v>
      </c>
      <c r="C1526" s="5" t="s">
        <v>11</v>
      </c>
      <c r="D1526" s="5" t="s">
        <v>12</v>
      </c>
      <c r="E1526" s="5" t="s">
        <v>963</v>
      </c>
    </row>
    <row r="1527" spans="1:5" x14ac:dyDescent="0.25">
      <c r="A1527" s="5">
        <f>1519</f>
      </c>
      <c r="B1527" s="5" t="s">
        <v>1610</v>
      </c>
      <c r="C1527" s="5" t="s">
        <v>11</v>
      </c>
      <c r="D1527" s="5" t="s">
        <v>12</v>
      </c>
      <c r="E1527" s="5" t="s">
        <v>963</v>
      </c>
    </row>
    <row r="1528" spans="1:5" x14ac:dyDescent="0.25">
      <c r="A1528" s="5">
        <f>1520</f>
      </c>
      <c r="B1528" s="5" t="s">
        <v>1611</v>
      </c>
      <c r="C1528" s="5" t="s">
        <v>11</v>
      </c>
      <c r="D1528" s="5" t="s">
        <v>12</v>
      </c>
      <c r="E1528" s="5" t="s">
        <v>963</v>
      </c>
    </row>
    <row r="1529" spans="1:5" x14ac:dyDescent="0.25">
      <c r="A1529" s="5">
        <f>1521</f>
      </c>
      <c r="B1529" s="5" t="s">
        <v>1612</v>
      </c>
      <c r="C1529" s="5" t="s">
        <v>11</v>
      </c>
      <c r="D1529" s="5" t="s">
        <v>12</v>
      </c>
      <c r="E1529" s="5" t="s">
        <v>963</v>
      </c>
    </row>
    <row r="1530" spans="1:5" x14ac:dyDescent="0.25">
      <c r="A1530" s="5">
        <f>1522</f>
      </c>
      <c r="B1530" s="5" t="s">
        <v>1613</v>
      </c>
      <c r="C1530" s="5" t="s">
        <v>11</v>
      </c>
      <c r="D1530" s="5" t="s">
        <v>12</v>
      </c>
      <c r="E1530" s="5" t="s">
        <v>963</v>
      </c>
    </row>
    <row r="1531" spans="1:5" x14ac:dyDescent="0.25">
      <c r="A1531" s="5">
        <f>1523</f>
      </c>
      <c r="B1531" s="5" t="s">
        <v>1614</v>
      </c>
      <c r="C1531" s="5" t="s">
        <v>11</v>
      </c>
      <c r="D1531" s="5" t="s">
        <v>12</v>
      </c>
      <c r="E1531" s="5" t="s">
        <v>963</v>
      </c>
    </row>
    <row r="1532" spans="1:5" x14ac:dyDescent="0.25">
      <c r="A1532" s="5">
        <f>1524</f>
      </c>
      <c r="B1532" s="5" t="s">
        <v>1615</v>
      </c>
      <c r="C1532" s="5" t="s">
        <v>11</v>
      </c>
      <c r="D1532" s="5" t="s">
        <v>12</v>
      </c>
      <c r="E1532" s="5" t="s">
        <v>963</v>
      </c>
    </row>
    <row r="1533" spans="1:5" x14ac:dyDescent="0.25">
      <c r="A1533" s="5">
        <f>1525</f>
      </c>
      <c r="B1533" s="5" t="s">
        <v>1616</v>
      </c>
      <c r="C1533" s="5" t="s">
        <v>11</v>
      </c>
      <c r="D1533" s="5" t="s">
        <v>12</v>
      </c>
      <c r="E1533" s="5" t="s">
        <v>963</v>
      </c>
    </row>
    <row r="1534" spans="1:5" x14ac:dyDescent="0.25">
      <c r="A1534" s="5">
        <f>1526</f>
      </c>
      <c r="B1534" s="5" t="s">
        <v>1617</v>
      </c>
      <c r="C1534" s="5" t="s">
        <v>11</v>
      </c>
      <c r="D1534" s="5" t="s">
        <v>12</v>
      </c>
      <c r="E1534" s="5" t="s">
        <v>963</v>
      </c>
    </row>
    <row r="1535" spans="1:5" x14ac:dyDescent="0.25">
      <c r="A1535" s="5">
        <f>1527</f>
      </c>
      <c r="B1535" s="5" t="s">
        <v>1618</v>
      </c>
      <c r="C1535" s="5" t="s">
        <v>11</v>
      </c>
      <c r="D1535" s="5" t="s">
        <v>12</v>
      </c>
      <c r="E1535" s="5" t="s">
        <v>963</v>
      </c>
    </row>
    <row r="1536" spans="1:5" x14ac:dyDescent="0.25">
      <c r="A1536" s="5">
        <f>1528</f>
      </c>
      <c r="B1536" s="5" t="s">
        <v>1619</v>
      </c>
      <c r="C1536" s="5" t="s">
        <v>11</v>
      </c>
      <c r="D1536" s="5" t="s">
        <v>12</v>
      </c>
      <c r="E1536" s="5" t="s">
        <v>963</v>
      </c>
    </row>
    <row r="1537" spans="1:5" x14ac:dyDescent="0.25">
      <c r="A1537" s="5">
        <f>1529</f>
      </c>
      <c r="B1537" s="5" t="s">
        <v>1620</v>
      </c>
      <c r="C1537" s="5" t="s">
        <v>11</v>
      </c>
      <c r="D1537" s="5" t="s">
        <v>12</v>
      </c>
      <c r="E1537" s="5" t="s">
        <v>963</v>
      </c>
    </row>
    <row r="1538" spans="1:5" x14ac:dyDescent="0.25">
      <c r="A1538" s="5">
        <f>1530</f>
      </c>
      <c r="B1538" s="5" t="s">
        <v>1621</v>
      </c>
      <c r="C1538" s="5" t="s">
        <v>11</v>
      </c>
      <c r="D1538" s="5" t="s">
        <v>12</v>
      </c>
      <c r="E1538" s="5" t="s">
        <v>963</v>
      </c>
    </row>
    <row r="1539" spans="1:5" x14ac:dyDescent="0.25">
      <c r="A1539" s="5">
        <f>1531</f>
      </c>
      <c r="B1539" s="5" t="s">
        <v>1622</v>
      </c>
      <c r="C1539" s="5" t="s">
        <v>11</v>
      </c>
      <c r="D1539" s="5" t="s">
        <v>12</v>
      </c>
      <c r="E1539" s="5" t="s">
        <v>963</v>
      </c>
    </row>
    <row r="1540" spans="1:5" x14ac:dyDescent="0.25">
      <c r="A1540" s="5">
        <f>1532</f>
      </c>
      <c r="B1540" s="5" t="s">
        <v>1623</v>
      </c>
      <c r="C1540" s="5" t="s">
        <v>11</v>
      </c>
      <c r="D1540" s="5" t="s">
        <v>12</v>
      </c>
      <c r="E1540" s="5" t="s">
        <v>963</v>
      </c>
    </row>
    <row r="1541" spans="1:5" x14ac:dyDescent="0.25">
      <c r="A1541" s="5">
        <f>1533</f>
      </c>
      <c r="B1541" s="5" t="s">
        <v>1624</v>
      </c>
      <c r="C1541" s="5" t="s">
        <v>11</v>
      </c>
      <c r="D1541" s="5" t="s">
        <v>12</v>
      </c>
      <c r="E1541" s="5" t="s">
        <v>963</v>
      </c>
    </row>
    <row r="1542" spans="1:5" x14ac:dyDescent="0.25">
      <c r="A1542" s="5">
        <f>1534</f>
      </c>
      <c r="B1542" s="5" t="s">
        <v>1625</v>
      </c>
      <c r="C1542" s="5" t="s">
        <v>11</v>
      </c>
      <c r="D1542" s="5" t="s">
        <v>12</v>
      </c>
      <c r="E1542" s="5" t="s">
        <v>963</v>
      </c>
    </row>
    <row r="1543" spans="1:5" x14ac:dyDescent="0.25">
      <c r="A1543" s="5">
        <f>1535</f>
      </c>
      <c r="B1543" s="5" t="s">
        <v>1626</v>
      </c>
      <c r="C1543" s="5" t="s">
        <v>11</v>
      </c>
      <c r="D1543" s="5" t="s">
        <v>12</v>
      </c>
      <c r="E1543" s="5" t="s">
        <v>963</v>
      </c>
    </row>
    <row r="1544" spans="1:5" x14ac:dyDescent="0.25">
      <c r="A1544" s="5">
        <f>1536</f>
      </c>
      <c r="B1544" s="5" t="s">
        <v>1627</v>
      </c>
      <c r="C1544" s="5" t="s">
        <v>11</v>
      </c>
      <c r="D1544" s="5" t="s">
        <v>12</v>
      </c>
      <c r="E1544" s="5" t="s">
        <v>963</v>
      </c>
    </row>
    <row r="1545" spans="1:5" x14ac:dyDescent="0.25">
      <c r="A1545" s="5">
        <f>1537</f>
      </c>
      <c r="B1545" s="5" t="s">
        <v>1628</v>
      </c>
      <c r="C1545" s="5" t="s">
        <v>11</v>
      </c>
      <c r="D1545" s="5" t="s">
        <v>12</v>
      </c>
      <c r="E1545" s="5" t="s">
        <v>963</v>
      </c>
    </row>
    <row r="1546" spans="1:5" x14ac:dyDescent="0.25">
      <c r="A1546" s="5">
        <f>1538</f>
      </c>
      <c r="B1546" s="5" t="s">
        <v>1629</v>
      </c>
      <c r="C1546" s="5" t="s">
        <v>11</v>
      </c>
      <c r="D1546" s="5" t="s">
        <v>12</v>
      </c>
      <c r="E1546" s="5" t="s">
        <v>963</v>
      </c>
    </row>
    <row r="1547" spans="1:5" x14ac:dyDescent="0.25">
      <c r="A1547" s="5">
        <f>1539</f>
      </c>
      <c r="B1547" s="5" t="s">
        <v>1630</v>
      </c>
      <c r="C1547" s="5" t="s">
        <v>11</v>
      </c>
      <c r="D1547" s="5" t="s">
        <v>12</v>
      </c>
      <c r="E1547" s="5" t="s">
        <v>963</v>
      </c>
    </row>
    <row r="1548" spans="1:5" x14ac:dyDescent="0.25">
      <c r="A1548" s="5">
        <f>1540</f>
      </c>
      <c r="B1548" s="5" t="s">
        <v>1631</v>
      </c>
      <c r="C1548" s="5" t="s">
        <v>11</v>
      </c>
      <c r="D1548" s="5" t="s">
        <v>12</v>
      </c>
      <c r="E1548" s="5" t="s">
        <v>963</v>
      </c>
    </row>
    <row r="1549" spans="1:5" x14ac:dyDescent="0.25">
      <c r="A1549" s="5">
        <f>1541</f>
      </c>
      <c r="B1549" s="5" t="s">
        <v>1632</v>
      </c>
      <c r="C1549" s="5" t="s">
        <v>11</v>
      </c>
      <c r="D1549" s="5" t="s">
        <v>12</v>
      </c>
      <c r="E1549" s="5" t="s">
        <v>963</v>
      </c>
    </row>
    <row r="1550" spans="1:5" x14ac:dyDescent="0.25">
      <c r="A1550" s="5">
        <f>1542</f>
      </c>
      <c r="B1550" s="5" t="s">
        <v>1633</v>
      </c>
      <c r="C1550" s="5" t="s">
        <v>11</v>
      </c>
      <c r="D1550" s="5" t="s">
        <v>12</v>
      </c>
      <c r="E1550" s="5" t="s">
        <v>963</v>
      </c>
    </row>
    <row r="1551" spans="1:5" x14ac:dyDescent="0.25">
      <c r="A1551" s="5">
        <f>1543</f>
      </c>
      <c r="B1551" s="5" t="s">
        <v>1634</v>
      </c>
      <c r="C1551" s="5" t="s">
        <v>11</v>
      </c>
      <c r="D1551" s="5" t="s">
        <v>12</v>
      </c>
      <c r="E1551" s="5" t="s">
        <v>963</v>
      </c>
    </row>
    <row r="1552" spans="1:5" x14ac:dyDescent="0.25">
      <c r="A1552" s="5">
        <f>1544</f>
      </c>
      <c r="B1552" s="5" t="s">
        <v>1635</v>
      </c>
      <c r="C1552" s="5" t="s">
        <v>11</v>
      </c>
      <c r="D1552" s="5" t="s">
        <v>12</v>
      </c>
      <c r="E1552" s="5" t="s">
        <v>963</v>
      </c>
    </row>
    <row r="1553" spans="1:5" x14ac:dyDescent="0.25">
      <c r="A1553" s="5">
        <f>1545</f>
      </c>
      <c r="B1553" s="5" t="s">
        <v>1636</v>
      </c>
      <c r="C1553" s="5" t="s">
        <v>11</v>
      </c>
      <c r="D1553" s="5" t="s">
        <v>12</v>
      </c>
      <c r="E1553" s="5" t="s">
        <v>963</v>
      </c>
    </row>
    <row r="1554" spans="1:5" x14ac:dyDescent="0.25">
      <c r="A1554" s="5">
        <f>1546</f>
      </c>
      <c r="B1554" s="5" t="s">
        <v>1637</v>
      </c>
      <c r="C1554" s="5" t="s">
        <v>11</v>
      </c>
      <c r="D1554" s="5" t="s">
        <v>12</v>
      </c>
      <c r="E1554" s="5" t="s">
        <v>963</v>
      </c>
    </row>
    <row r="1555" spans="1:5" x14ac:dyDescent="0.25">
      <c r="A1555" s="5">
        <f>1547</f>
      </c>
      <c r="B1555" s="5" t="s">
        <v>1638</v>
      </c>
      <c r="C1555" s="5" t="s">
        <v>11</v>
      </c>
      <c r="D1555" s="5" t="s">
        <v>12</v>
      </c>
      <c r="E1555" s="5" t="s">
        <v>963</v>
      </c>
    </row>
    <row r="1556" spans="1:5" x14ac:dyDescent="0.25">
      <c r="A1556" s="5">
        <f>1548</f>
      </c>
      <c r="B1556" s="5" t="s">
        <v>1639</v>
      </c>
      <c r="C1556" s="5" t="s">
        <v>11</v>
      </c>
      <c r="D1556" s="5" t="s">
        <v>12</v>
      </c>
      <c r="E1556" s="5" t="s">
        <v>963</v>
      </c>
    </row>
    <row r="1557" spans="1:5" x14ac:dyDescent="0.25">
      <c r="A1557" s="5">
        <f>1549</f>
      </c>
      <c r="B1557" s="5" t="s">
        <v>1640</v>
      </c>
      <c r="C1557" s="5" t="s">
        <v>11</v>
      </c>
      <c r="D1557" s="5" t="s">
        <v>12</v>
      </c>
      <c r="E1557" s="5" t="s">
        <v>963</v>
      </c>
    </row>
    <row r="1558" spans="1:5" x14ac:dyDescent="0.25">
      <c r="A1558" s="5">
        <f>1550</f>
      </c>
      <c r="B1558" s="5" t="s">
        <v>1641</v>
      </c>
      <c r="C1558" s="5" t="s">
        <v>11</v>
      </c>
      <c r="D1558" s="5" t="s">
        <v>12</v>
      </c>
      <c r="E1558" s="5" t="s">
        <v>963</v>
      </c>
    </row>
    <row r="1559" spans="1:5" x14ac:dyDescent="0.25">
      <c r="A1559" s="5">
        <f>1551</f>
      </c>
      <c r="B1559" s="5" t="s">
        <v>1642</v>
      </c>
      <c r="C1559" s="5" t="s">
        <v>11</v>
      </c>
      <c r="D1559" s="5" t="s">
        <v>12</v>
      </c>
      <c r="E1559" s="5" t="s">
        <v>963</v>
      </c>
    </row>
    <row r="1560" spans="1:5" x14ac:dyDescent="0.25">
      <c r="A1560" s="5">
        <f>1552</f>
      </c>
      <c r="B1560" s="5" t="s">
        <v>1643</v>
      </c>
      <c r="C1560" s="5" t="s">
        <v>11</v>
      </c>
      <c r="D1560" s="5" t="s">
        <v>12</v>
      </c>
      <c r="E1560" s="5" t="s">
        <v>963</v>
      </c>
    </row>
    <row r="1561" spans="1:5" x14ac:dyDescent="0.25">
      <c r="A1561" s="5">
        <f>1553</f>
      </c>
      <c r="B1561" s="5" t="s">
        <v>1644</v>
      </c>
      <c r="C1561" s="5" t="s">
        <v>11</v>
      </c>
      <c r="D1561" s="5" t="s">
        <v>12</v>
      </c>
      <c r="E1561" s="5" t="s">
        <v>963</v>
      </c>
    </row>
    <row r="1562" spans="1:5" x14ac:dyDescent="0.25">
      <c r="A1562" s="5">
        <f>1554</f>
      </c>
      <c r="B1562" s="5" t="s">
        <v>1645</v>
      </c>
      <c r="C1562" s="5" t="s">
        <v>11</v>
      </c>
      <c r="D1562" s="5" t="s">
        <v>12</v>
      </c>
      <c r="E1562" s="5" t="s">
        <v>963</v>
      </c>
    </row>
    <row r="1563" spans="1:5" x14ac:dyDescent="0.25">
      <c r="A1563" s="5">
        <f>1555</f>
      </c>
      <c r="B1563" s="5" t="s">
        <v>1646</v>
      </c>
      <c r="C1563" s="5" t="s">
        <v>11</v>
      </c>
      <c r="D1563" s="5" t="s">
        <v>12</v>
      </c>
      <c r="E1563" s="5" t="s">
        <v>963</v>
      </c>
    </row>
    <row r="1564" spans="1:5" x14ac:dyDescent="0.25">
      <c r="A1564" s="5">
        <f>1556</f>
      </c>
      <c r="B1564" s="5" t="s">
        <v>1647</v>
      </c>
      <c r="C1564" s="5" t="s">
        <v>11</v>
      </c>
      <c r="D1564" s="5" t="s">
        <v>12</v>
      </c>
      <c r="E1564" s="5" t="s">
        <v>963</v>
      </c>
    </row>
    <row r="1565" spans="1:5" x14ac:dyDescent="0.25">
      <c r="A1565" s="5">
        <f>1557</f>
      </c>
      <c r="B1565" s="5" t="s">
        <v>1648</v>
      </c>
      <c r="C1565" s="5" t="s">
        <v>11</v>
      </c>
      <c r="D1565" s="5" t="s">
        <v>12</v>
      </c>
      <c r="E1565" s="5" t="s">
        <v>963</v>
      </c>
    </row>
    <row r="1566" spans="1:5" x14ac:dyDescent="0.25">
      <c r="A1566" s="5">
        <f>1558</f>
      </c>
      <c r="B1566" s="5" t="s">
        <v>1649</v>
      </c>
      <c r="C1566" s="5" t="s">
        <v>11</v>
      </c>
      <c r="D1566" s="5" t="s">
        <v>12</v>
      </c>
      <c r="E1566" s="5" t="s">
        <v>963</v>
      </c>
    </row>
    <row r="1567" spans="1:5" x14ac:dyDescent="0.25">
      <c r="A1567" s="5">
        <f>1559</f>
      </c>
      <c r="B1567" s="5" t="s">
        <v>1650</v>
      </c>
      <c r="C1567" s="5" t="s">
        <v>11</v>
      </c>
      <c r="D1567" s="5" t="s">
        <v>12</v>
      </c>
      <c r="E1567" s="5" t="s">
        <v>963</v>
      </c>
    </row>
    <row r="1568" spans="1:5" x14ac:dyDescent="0.25">
      <c r="A1568" s="5">
        <f>1560</f>
      </c>
      <c r="B1568" s="5" t="s">
        <v>1651</v>
      </c>
      <c r="C1568" s="5" t="s">
        <v>11</v>
      </c>
      <c r="D1568" s="5" t="s">
        <v>12</v>
      </c>
      <c r="E1568" s="5" t="s">
        <v>963</v>
      </c>
    </row>
    <row r="1569" spans="1:5" x14ac:dyDescent="0.25">
      <c r="A1569" s="5">
        <f>1561</f>
      </c>
      <c r="B1569" s="5" t="s">
        <v>1652</v>
      </c>
      <c r="C1569" s="5" t="s">
        <v>11</v>
      </c>
      <c r="D1569" s="5" t="s">
        <v>12</v>
      </c>
      <c r="E1569" s="5" t="s">
        <v>963</v>
      </c>
    </row>
    <row r="1570" spans="1:5" x14ac:dyDescent="0.25">
      <c r="A1570" s="5">
        <f>1562</f>
      </c>
      <c r="B1570" s="5" t="s">
        <v>1653</v>
      </c>
      <c r="C1570" s="5" t="s">
        <v>11</v>
      </c>
      <c r="D1570" s="5" t="s">
        <v>12</v>
      </c>
      <c r="E1570" s="5" t="s">
        <v>963</v>
      </c>
    </row>
    <row r="1571" spans="1:5" x14ac:dyDescent="0.25">
      <c r="A1571" s="5">
        <f>1563</f>
      </c>
      <c r="B1571" s="5" t="s">
        <v>1654</v>
      </c>
      <c r="C1571" s="5" t="s">
        <v>11</v>
      </c>
      <c r="D1571" s="5" t="s">
        <v>12</v>
      </c>
      <c r="E1571" s="5" t="s">
        <v>963</v>
      </c>
    </row>
    <row r="1572" spans="1:5" x14ac:dyDescent="0.25">
      <c r="A1572" s="5">
        <f>1564</f>
      </c>
      <c r="B1572" s="5" t="s">
        <v>1655</v>
      </c>
      <c r="C1572" s="5" t="s">
        <v>11</v>
      </c>
      <c r="D1572" s="5" t="s">
        <v>12</v>
      </c>
      <c r="E1572" s="5" t="s">
        <v>963</v>
      </c>
    </row>
    <row r="1573" spans="1:5" x14ac:dyDescent="0.25">
      <c r="A1573" s="5">
        <f>1565</f>
      </c>
      <c r="B1573" s="5" t="s">
        <v>1656</v>
      </c>
      <c r="C1573" s="5" t="s">
        <v>11</v>
      </c>
      <c r="D1573" s="5" t="s">
        <v>12</v>
      </c>
      <c r="E1573" s="5" t="s">
        <v>963</v>
      </c>
    </row>
    <row r="1574" spans="1:5" x14ac:dyDescent="0.25">
      <c r="A1574" s="5">
        <f>1566</f>
      </c>
      <c r="B1574" s="5" t="s">
        <v>1657</v>
      </c>
      <c r="C1574" s="5" t="s">
        <v>11</v>
      </c>
      <c r="D1574" s="5" t="s">
        <v>12</v>
      </c>
      <c r="E1574" s="5" t="s">
        <v>963</v>
      </c>
    </row>
    <row r="1575" spans="1:5" x14ac:dyDescent="0.25">
      <c r="A1575" s="5">
        <f>1567</f>
      </c>
      <c r="B1575" s="5" t="s">
        <v>1658</v>
      </c>
      <c r="C1575" s="5" t="s">
        <v>11</v>
      </c>
      <c r="D1575" s="5" t="s">
        <v>12</v>
      </c>
      <c r="E1575" s="5" t="s">
        <v>963</v>
      </c>
    </row>
    <row r="1576" spans="1:5" x14ac:dyDescent="0.25">
      <c r="A1576" s="5">
        <f>1568</f>
      </c>
      <c r="B1576" s="5" t="s">
        <v>1659</v>
      </c>
      <c r="C1576" s="5" t="s">
        <v>11</v>
      </c>
      <c r="D1576" s="5" t="s">
        <v>12</v>
      </c>
      <c r="E1576" s="5" t="s">
        <v>963</v>
      </c>
    </row>
    <row r="1577" spans="1:5" x14ac:dyDescent="0.25">
      <c r="A1577" s="5">
        <f>1569</f>
      </c>
      <c r="B1577" s="5" t="s">
        <v>1660</v>
      </c>
      <c r="C1577" s="5" t="s">
        <v>11</v>
      </c>
      <c r="D1577" s="5" t="s">
        <v>12</v>
      </c>
      <c r="E1577" s="5" t="s">
        <v>963</v>
      </c>
    </row>
    <row r="1578" spans="1:5" x14ac:dyDescent="0.25">
      <c r="A1578" s="5">
        <f>1570</f>
      </c>
      <c r="B1578" s="5" t="s">
        <v>1661</v>
      </c>
      <c r="C1578" s="5" t="s">
        <v>11</v>
      </c>
      <c r="D1578" s="5" t="s">
        <v>12</v>
      </c>
      <c r="E1578" s="5" t="s">
        <v>963</v>
      </c>
    </row>
    <row r="1579" spans="1:5" x14ac:dyDescent="0.25">
      <c r="A1579" s="5">
        <f>1571</f>
      </c>
      <c r="B1579" s="5" t="s">
        <v>1662</v>
      </c>
      <c r="C1579" s="5" t="s">
        <v>11</v>
      </c>
      <c r="D1579" s="5" t="s">
        <v>12</v>
      </c>
      <c r="E1579" s="5" t="s">
        <v>963</v>
      </c>
    </row>
    <row r="1580" spans="1:5" x14ac:dyDescent="0.25">
      <c r="A1580" s="5">
        <f>1572</f>
      </c>
      <c r="B1580" s="5" t="s">
        <v>1663</v>
      </c>
      <c r="C1580" s="5" t="s">
        <v>11</v>
      </c>
      <c r="D1580" s="5" t="s">
        <v>12</v>
      </c>
      <c r="E1580" s="5" t="s">
        <v>963</v>
      </c>
    </row>
    <row r="1581" spans="1:5" x14ac:dyDescent="0.25">
      <c r="A1581" s="5">
        <f>1573</f>
      </c>
      <c r="B1581" s="5" t="s">
        <v>1664</v>
      </c>
      <c r="C1581" s="5" t="s">
        <v>11</v>
      </c>
      <c r="D1581" s="5" t="s">
        <v>12</v>
      </c>
      <c r="E1581" s="5" t="s">
        <v>963</v>
      </c>
    </row>
    <row r="1582" spans="1:5" x14ac:dyDescent="0.25">
      <c r="A1582" s="5">
        <f>1574</f>
      </c>
      <c r="B1582" s="5" t="s">
        <v>1665</v>
      </c>
      <c r="C1582" s="5" t="s">
        <v>11</v>
      </c>
      <c r="D1582" s="5" t="s">
        <v>12</v>
      </c>
      <c r="E1582" s="5" t="s">
        <v>963</v>
      </c>
    </row>
    <row r="1583" spans="1:5" x14ac:dyDescent="0.25">
      <c r="A1583" s="5">
        <f>1575</f>
      </c>
      <c r="B1583" s="5" t="s">
        <v>1666</v>
      </c>
      <c r="C1583" s="5" t="s">
        <v>11</v>
      </c>
      <c r="D1583" s="5" t="s">
        <v>12</v>
      </c>
      <c r="E1583" s="5" t="s">
        <v>963</v>
      </c>
    </row>
    <row r="1584" spans="1:5" x14ac:dyDescent="0.25">
      <c r="A1584" s="5">
        <f>1576</f>
      </c>
      <c r="B1584" s="5" t="s">
        <v>1667</v>
      </c>
      <c r="C1584" s="5" t="s">
        <v>11</v>
      </c>
      <c r="D1584" s="5" t="s">
        <v>12</v>
      </c>
      <c r="E1584" s="5" t="s">
        <v>963</v>
      </c>
    </row>
    <row r="1585" spans="1:5" x14ac:dyDescent="0.25">
      <c r="A1585" s="5">
        <f>1577</f>
      </c>
      <c r="B1585" s="5" t="s">
        <v>1668</v>
      </c>
      <c r="C1585" s="5" t="s">
        <v>11</v>
      </c>
      <c r="D1585" s="5" t="s">
        <v>12</v>
      </c>
      <c r="E1585" s="5" t="s">
        <v>963</v>
      </c>
    </row>
    <row r="1586" spans="1:5" x14ac:dyDescent="0.25">
      <c r="A1586" s="5">
        <f>1578</f>
      </c>
      <c r="B1586" s="5" t="s">
        <v>1669</v>
      </c>
      <c r="C1586" s="5" t="s">
        <v>11</v>
      </c>
      <c r="D1586" s="5" t="s">
        <v>12</v>
      </c>
      <c r="E1586" s="5" t="s">
        <v>963</v>
      </c>
    </row>
    <row r="1587" spans="1:5" x14ac:dyDescent="0.25">
      <c r="A1587" s="5">
        <f>1579</f>
      </c>
      <c r="B1587" s="5" t="s">
        <v>1670</v>
      </c>
      <c r="C1587" s="5" t="s">
        <v>11</v>
      </c>
      <c r="D1587" s="5" t="s">
        <v>12</v>
      </c>
      <c r="E1587" s="5" t="s">
        <v>963</v>
      </c>
    </row>
    <row r="1588" spans="1:5" x14ac:dyDescent="0.25">
      <c r="A1588" s="5">
        <f>1580</f>
      </c>
      <c r="B1588" s="5" t="s">
        <v>1671</v>
      </c>
      <c r="C1588" s="5" t="s">
        <v>11</v>
      </c>
      <c r="D1588" s="5" t="s">
        <v>12</v>
      </c>
      <c r="E1588" s="5" t="s">
        <v>963</v>
      </c>
    </row>
    <row r="1589" spans="1:5" x14ac:dyDescent="0.25">
      <c r="A1589" s="5">
        <f>1581</f>
      </c>
      <c r="B1589" s="5" t="s">
        <v>1672</v>
      </c>
      <c r="C1589" s="5" t="s">
        <v>11</v>
      </c>
      <c r="D1589" s="5" t="s">
        <v>12</v>
      </c>
      <c r="E1589" s="5" t="s">
        <v>963</v>
      </c>
    </row>
    <row r="1590" spans="1:5" x14ac:dyDescent="0.25">
      <c r="A1590" s="5">
        <f>1582</f>
      </c>
      <c r="B1590" s="5" t="s">
        <v>1673</v>
      </c>
      <c r="C1590" s="5" t="s">
        <v>11</v>
      </c>
      <c r="D1590" s="5" t="s">
        <v>12</v>
      </c>
      <c r="E1590" s="5" t="s">
        <v>963</v>
      </c>
    </row>
    <row r="1591" spans="1:5" x14ac:dyDescent="0.25">
      <c r="A1591" s="5">
        <f>1583</f>
      </c>
      <c r="B1591" s="5" t="s">
        <v>1674</v>
      </c>
      <c r="C1591" s="5" t="s">
        <v>11</v>
      </c>
      <c r="D1591" s="5" t="s">
        <v>12</v>
      </c>
      <c r="E1591" s="5" t="s">
        <v>963</v>
      </c>
    </row>
    <row r="1592" spans="1:5" x14ac:dyDescent="0.25">
      <c r="A1592" s="5">
        <f>1584</f>
      </c>
      <c r="B1592" s="5" t="s">
        <v>1675</v>
      </c>
      <c r="C1592" s="5" t="s">
        <v>11</v>
      </c>
      <c r="D1592" s="5" t="s">
        <v>12</v>
      </c>
      <c r="E1592" s="5" t="s">
        <v>963</v>
      </c>
    </row>
    <row r="1593" spans="1:5" x14ac:dyDescent="0.25">
      <c r="A1593" s="5">
        <f>1585</f>
      </c>
      <c r="B1593" s="5" t="s">
        <v>1676</v>
      </c>
      <c r="C1593" s="5" t="s">
        <v>11</v>
      </c>
      <c r="D1593" s="5" t="s">
        <v>12</v>
      </c>
      <c r="E1593" s="5" t="s">
        <v>963</v>
      </c>
    </row>
    <row r="1594" spans="1:5" x14ac:dyDescent="0.25">
      <c r="A1594" s="5">
        <f>1586</f>
      </c>
      <c r="B1594" s="5" t="s">
        <v>1677</v>
      </c>
      <c r="C1594" s="5" t="s">
        <v>11</v>
      </c>
      <c r="D1594" s="5" t="s">
        <v>12</v>
      </c>
      <c r="E1594" s="5" t="s">
        <v>963</v>
      </c>
    </row>
    <row r="1595" spans="1:5" x14ac:dyDescent="0.25">
      <c r="A1595" s="5">
        <f>1587</f>
      </c>
      <c r="B1595" s="5" t="s">
        <v>1678</v>
      </c>
      <c r="C1595" s="5" t="s">
        <v>11</v>
      </c>
      <c r="D1595" s="5" t="s">
        <v>12</v>
      </c>
      <c r="E1595" s="5" t="s">
        <v>963</v>
      </c>
    </row>
    <row r="1596" spans="1:5" x14ac:dyDescent="0.25">
      <c r="A1596" s="5">
        <f>1588</f>
      </c>
      <c r="B1596" s="5" t="s">
        <v>1679</v>
      </c>
      <c r="C1596" s="5" t="s">
        <v>11</v>
      </c>
      <c r="D1596" s="5" t="s">
        <v>12</v>
      </c>
      <c r="E1596" s="5" t="s">
        <v>963</v>
      </c>
    </row>
    <row r="1597" spans="1:5" x14ac:dyDescent="0.25">
      <c r="A1597" s="5">
        <f>1589</f>
      </c>
      <c r="B1597" s="5" t="s">
        <v>1680</v>
      </c>
      <c r="C1597" s="5" t="s">
        <v>11</v>
      </c>
      <c r="D1597" s="5" t="s">
        <v>12</v>
      </c>
      <c r="E1597" s="5" t="s">
        <v>963</v>
      </c>
    </row>
    <row r="1598" spans="1:5" x14ac:dyDescent="0.25">
      <c r="A1598" s="5">
        <f>1590</f>
      </c>
      <c r="B1598" s="5" t="s">
        <v>1681</v>
      </c>
      <c r="C1598" s="5" t="s">
        <v>11</v>
      </c>
      <c r="D1598" s="5" t="s">
        <v>12</v>
      </c>
      <c r="E1598" s="5" t="s">
        <v>963</v>
      </c>
    </row>
    <row r="1599" spans="1:5" x14ac:dyDescent="0.25">
      <c r="A1599" s="5">
        <f>1591</f>
      </c>
      <c r="B1599" s="5" t="s">
        <v>1682</v>
      </c>
      <c r="C1599" s="5" t="s">
        <v>11</v>
      </c>
      <c r="D1599" s="5" t="s">
        <v>12</v>
      </c>
      <c r="E1599" s="5" t="s">
        <v>963</v>
      </c>
    </row>
    <row r="1600" spans="1:5" x14ac:dyDescent="0.25">
      <c r="A1600" s="5">
        <f>1592</f>
      </c>
      <c r="B1600" s="5" t="s">
        <v>1683</v>
      </c>
      <c r="C1600" s="5" t="s">
        <v>11</v>
      </c>
      <c r="D1600" s="5" t="s">
        <v>12</v>
      </c>
      <c r="E1600" s="5" t="s">
        <v>963</v>
      </c>
    </row>
    <row r="1601" spans="1:5" x14ac:dyDescent="0.25">
      <c r="A1601" s="5">
        <f>1593</f>
      </c>
      <c r="B1601" s="5" t="s">
        <v>1684</v>
      </c>
      <c r="C1601" s="5" t="s">
        <v>11</v>
      </c>
      <c r="D1601" s="5" t="s">
        <v>12</v>
      </c>
      <c r="E1601" s="5" t="s">
        <v>963</v>
      </c>
    </row>
    <row r="1602" spans="1:5" x14ac:dyDescent="0.25">
      <c r="A1602" s="5">
        <f>1594</f>
      </c>
      <c r="B1602" s="5" t="s">
        <v>1685</v>
      </c>
      <c r="C1602" s="5" t="s">
        <v>11</v>
      </c>
      <c r="D1602" s="5" t="s">
        <v>12</v>
      </c>
      <c r="E1602" s="5" t="s">
        <v>963</v>
      </c>
    </row>
    <row r="1603" spans="1:5" x14ac:dyDescent="0.25">
      <c r="A1603" s="5">
        <f>1595</f>
      </c>
      <c r="B1603" s="5" t="s">
        <v>1686</v>
      </c>
      <c r="C1603" s="5" t="s">
        <v>11</v>
      </c>
      <c r="D1603" s="5" t="s">
        <v>12</v>
      </c>
      <c r="E1603" s="5" t="s">
        <v>963</v>
      </c>
    </row>
    <row r="1604" spans="1:5" x14ac:dyDescent="0.25">
      <c r="A1604" s="5">
        <f>1596</f>
      </c>
      <c r="B1604" s="5" t="s">
        <v>1687</v>
      </c>
      <c r="C1604" s="5" t="s">
        <v>11</v>
      </c>
      <c r="D1604" s="5" t="s">
        <v>12</v>
      </c>
      <c r="E1604" s="5" t="s">
        <v>963</v>
      </c>
    </row>
    <row r="1605" spans="1:5" x14ac:dyDescent="0.25">
      <c r="A1605" s="5">
        <f>1597</f>
      </c>
      <c r="B1605" s="5" t="s">
        <v>1688</v>
      </c>
      <c r="C1605" s="5" t="s">
        <v>11</v>
      </c>
      <c r="D1605" s="5" t="s">
        <v>12</v>
      </c>
      <c r="E1605" s="5" t="s">
        <v>963</v>
      </c>
    </row>
    <row r="1606" spans="1:5" x14ac:dyDescent="0.25">
      <c r="A1606" s="5">
        <f>1598</f>
      </c>
      <c r="B1606" s="5" t="s">
        <v>1689</v>
      </c>
      <c r="C1606" s="5" t="s">
        <v>11</v>
      </c>
      <c r="D1606" s="5" t="s">
        <v>12</v>
      </c>
      <c r="E1606" s="5" t="s">
        <v>963</v>
      </c>
    </row>
    <row r="1607" spans="1:5" x14ac:dyDescent="0.25">
      <c r="A1607" s="5">
        <f>1599</f>
      </c>
      <c r="B1607" s="5" t="s">
        <v>1690</v>
      </c>
      <c r="C1607" s="5" t="s">
        <v>11</v>
      </c>
      <c r="D1607" s="5" t="s">
        <v>12</v>
      </c>
      <c r="E1607" s="5" t="s">
        <v>963</v>
      </c>
    </row>
    <row r="1608" spans="1:5" x14ac:dyDescent="0.25">
      <c r="A1608" s="5">
        <f>1600</f>
      </c>
      <c r="B1608" s="5" t="s">
        <v>1691</v>
      </c>
      <c r="C1608" s="5" t="s">
        <v>11</v>
      </c>
      <c r="D1608" s="5" t="s">
        <v>12</v>
      </c>
      <c r="E1608" s="5" t="s">
        <v>963</v>
      </c>
    </row>
    <row r="1609" spans="1:5" x14ac:dyDescent="0.25">
      <c r="A1609" s="5">
        <f>1601</f>
      </c>
      <c r="B1609" s="5" t="s">
        <v>1692</v>
      </c>
      <c r="C1609" s="5" t="s">
        <v>11</v>
      </c>
      <c r="D1609" s="5" t="s">
        <v>12</v>
      </c>
      <c r="E1609" s="5" t="s">
        <v>963</v>
      </c>
    </row>
    <row r="1610" spans="1:5" x14ac:dyDescent="0.25">
      <c r="A1610" s="5">
        <f>1602</f>
      </c>
      <c r="B1610" s="5" t="s">
        <v>1693</v>
      </c>
      <c r="C1610" s="5" t="s">
        <v>11</v>
      </c>
      <c r="D1610" s="5" t="s">
        <v>12</v>
      </c>
      <c r="E1610" s="5" t="s">
        <v>963</v>
      </c>
    </row>
    <row r="1611" spans="1:5" x14ac:dyDescent="0.25">
      <c r="A1611" s="5">
        <f>1603</f>
      </c>
      <c r="B1611" s="5" t="s">
        <v>1694</v>
      </c>
      <c r="C1611" s="5" t="s">
        <v>11</v>
      </c>
      <c r="D1611" s="5" t="s">
        <v>12</v>
      </c>
      <c r="E1611" s="5" t="s">
        <v>963</v>
      </c>
    </row>
    <row r="1612" spans="1:5" x14ac:dyDescent="0.25">
      <c r="A1612" s="5">
        <f>1604</f>
      </c>
      <c r="B1612" s="5" t="s">
        <v>1695</v>
      </c>
      <c r="C1612" s="5" t="s">
        <v>11</v>
      </c>
      <c r="D1612" s="5" t="s">
        <v>12</v>
      </c>
      <c r="E1612" s="5" t="s">
        <v>963</v>
      </c>
    </row>
    <row r="1613" spans="1:5" x14ac:dyDescent="0.25">
      <c r="A1613" s="5">
        <f>1605</f>
      </c>
      <c r="B1613" s="5" t="s">
        <v>1696</v>
      </c>
      <c r="C1613" s="5" t="s">
        <v>11</v>
      </c>
      <c r="D1613" s="5" t="s">
        <v>12</v>
      </c>
      <c r="E1613" s="5" t="s">
        <v>963</v>
      </c>
    </row>
    <row r="1614" spans="1:5" x14ac:dyDescent="0.25">
      <c r="A1614" s="5">
        <f>1606</f>
      </c>
      <c r="B1614" s="5" t="s">
        <v>1697</v>
      </c>
      <c r="C1614" s="5" t="s">
        <v>11</v>
      </c>
      <c r="D1614" s="5" t="s">
        <v>12</v>
      </c>
      <c r="E1614" s="5" t="s">
        <v>963</v>
      </c>
    </row>
    <row r="1615" spans="1:5" x14ac:dyDescent="0.25">
      <c r="A1615" s="5">
        <f>1607</f>
      </c>
      <c r="B1615" s="5" t="s">
        <v>1698</v>
      </c>
      <c r="C1615" s="5" t="s">
        <v>11</v>
      </c>
      <c r="D1615" s="5" t="s">
        <v>12</v>
      </c>
      <c r="E1615" s="5" t="s">
        <v>963</v>
      </c>
    </row>
    <row r="1616" spans="1:5" x14ac:dyDescent="0.25">
      <c r="A1616" s="5">
        <f>1608</f>
      </c>
      <c r="B1616" s="5" t="s">
        <v>1699</v>
      </c>
      <c r="C1616" s="5" t="s">
        <v>11</v>
      </c>
      <c r="D1616" s="5" t="s">
        <v>12</v>
      </c>
      <c r="E1616" s="5" t="s">
        <v>963</v>
      </c>
    </row>
    <row r="1617" spans="1:5" x14ac:dyDescent="0.25">
      <c r="A1617" s="5">
        <f>1609</f>
      </c>
      <c r="B1617" s="5" t="s">
        <v>1700</v>
      </c>
      <c r="C1617" s="5" t="s">
        <v>11</v>
      </c>
      <c r="D1617" s="5" t="s">
        <v>12</v>
      </c>
      <c r="E1617" s="5" t="s">
        <v>963</v>
      </c>
    </row>
    <row r="1618" spans="1:5" x14ac:dyDescent="0.25">
      <c r="A1618" s="5">
        <f>1610</f>
      </c>
      <c r="B1618" s="5" t="s">
        <v>1701</v>
      </c>
      <c r="C1618" s="5" t="s">
        <v>11</v>
      </c>
      <c r="D1618" s="5" t="s">
        <v>12</v>
      </c>
      <c r="E1618" s="5" t="s">
        <v>963</v>
      </c>
    </row>
    <row r="1619" spans="1:5" x14ac:dyDescent="0.25">
      <c r="A1619" s="5">
        <f>1611</f>
      </c>
      <c r="B1619" s="5" t="s">
        <v>1702</v>
      </c>
      <c r="C1619" s="5" t="s">
        <v>11</v>
      </c>
      <c r="D1619" s="5" t="s">
        <v>12</v>
      </c>
      <c r="E1619" s="5" t="s">
        <v>963</v>
      </c>
    </row>
    <row r="1620" spans="1:5" x14ac:dyDescent="0.25">
      <c r="A1620" s="5">
        <f>1612</f>
      </c>
      <c r="B1620" s="5" t="s">
        <v>1703</v>
      </c>
      <c r="C1620" s="5" t="s">
        <v>11</v>
      </c>
      <c r="D1620" s="5" t="s">
        <v>12</v>
      </c>
      <c r="E1620" s="5" t="s">
        <v>963</v>
      </c>
    </row>
    <row r="1621" spans="1:5" x14ac:dyDescent="0.25">
      <c r="A1621" s="5">
        <f>1613</f>
      </c>
      <c r="B1621" s="5" t="s">
        <v>1704</v>
      </c>
      <c r="C1621" s="5" t="s">
        <v>11</v>
      </c>
      <c r="D1621" s="5" t="s">
        <v>12</v>
      </c>
      <c r="E1621" s="5" t="s">
        <v>963</v>
      </c>
    </row>
    <row r="1622" spans="1:5" x14ac:dyDescent="0.25">
      <c r="A1622" s="5">
        <f>1614</f>
      </c>
      <c r="B1622" s="5" t="s">
        <v>1705</v>
      </c>
      <c r="C1622" s="5" t="s">
        <v>11</v>
      </c>
      <c r="D1622" s="5" t="s">
        <v>12</v>
      </c>
      <c r="E1622" s="5" t="s">
        <v>963</v>
      </c>
    </row>
    <row r="1623" spans="1:5" x14ac:dyDescent="0.25">
      <c r="A1623" s="5">
        <f>1615</f>
      </c>
      <c r="B1623" s="5" t="s">
        <v>1706</v>
      </c>
      <c r="C1623" s="5" t="s">
        <v>11</v>
      </c>
      <c r="D1623" s="5" t="s">
        <v>12</v>
      </c>
      <c r="E1623" s="5" t="s">
        <v>963</v>
      </c>
    </row>
    <row r="1624" spans="1:5" x14ac:dyDescent="0.25">
      <c r="A1624" s="5">
        <f>1616</f>
      </c>
      <c r="B1624" s="5" t="s">
        <v>1707</v>
      </c>
      <c r="C1624" s="5" t="s">
        <v>11</v>
      </c>
      <c r="D1624" s="5" t="s">
        <v>12</v>
      </c>
      <c r="E1624" s="5" t="s">
        <v>963</v>
      </c>
    </row>
    <row r="1625" spans="1:5" x14ac:dyDescent="0.25">
      <c r="A1625" s="5">
        <f>1617</f>
      </c>
      <c r="B1625" s="5" t="s">
        <v>1708</v>
      </c>
      <c r="C1625" s="5" t="s">
        <v>11</v>
      </c>
      <c r="D1625" s="5" t="s">
        <v>12</v>
      </c>
      <c r="E1625" s="5" t="s">
        <v>963</v>
      </c>
    </row>
    <row r="1626" spans="1:5" x14ac:dyDescent="0.25">
      <c r="A1626" s="5">
        <f>1618</f>
      </c>
      <c r="B1626" s="5" t="s">
        <v>1709</v>
      </c>
      <c r="C1626" s="5" t="s">
        <v>11</v>
      </c>
      <c r="D1626" s="5" t="s">
        <v>12</v>
      </c>
      <c r="E1626" s="5" t="s">
        <v>963</v>
      </c>
    </row>
    <row r="1627" spans="1:5" x14ac:dyDescent="0.25">
      <c r="A1627" s="5">
        <f>1619</f>
      </c>
      <c r="B1627" s="5" t="s">
        <v>1710</v>
      </c>
      <c r="C1627" s="5" t="s">
        <v>11</v>
      </c>
      <c r="D1627" s="5" t="s">
        <v>12</v>
      </c>
      <c r="E1627" s="5" t="s">
        <v>963</v>
      </c>
    </row>
    <row r="1628" spans="1:5" x14ac:dyDescent="0.25">
      <c r="A1628" s="5">
        <f>1620</f>
      </c>
      <c r="B1628" s="5" t="s">
        <v>1711</v>
      </c>
      <c r="C1628" s="5" t="s">
        <v>11</v>
      </c>
      <c r="D1628" s="5" t="s">
        <v>12</v>
      </c>
      <c r="E1628" s="5" t="s">
        <v>963</v>
      </c>
    </row>
    <row r="1629" spans="1:5" x14ac:dyDescent="0.25">
      <c r="A1629" s="5">
        <f>1621</f>
      </c>
      <c r="B1629" s="5" t="s">
        <v>1712</v>
      </c>
      <c r="C1629" s="5" t="s">
        <v>11</v>
      </c>
      <c r="D1629" s="5" t="s">
        <v>12</v>
      </c>
      <c r="E1629" s="5" t="s">
        <v>963</v>
      </c>
    </row>
    <row r="1630" spans="1:5" x14ac:dyDescent="0.25">
      <c r="A1630" s="5">
        <f>1622</f>
      </c>
      <c r="B1630" s="5" t="s">
        <v>1713</v>
      </c>
      <c r="C1630" s="5" t="s">
        <v>11</v>
      </c>
      <c r="D1630" s="5" t="s">
        <v>12</v>
      </c>
      <c r="E1630" s="5" t="s">
        <v>963</v>
      </c>
    </row>
    <row r="1631" spans="1:5" x14ac:dyDescent="0.25">
      <c r="A1631" s="5">
        <f>1623</f>
      </c>
      <c r="B1631" s="5" t="s">
        <v>1714</v>
      </c>
      <c r="C1631" s="5" t="s">
        <v>11</v>
      </c>
      <c r="D1631" s="5" t="s">
        <v>12</v>
      </c>
      <c r="E1631" s="5" t="s">
        <v>963</v>
      </c>
    </row>
    <row r="1632" spans="1:5" x14ac:dyDescent="0.25">
      <c r="A1632" s="5">
        <f>1624</f>
      </c>
      <c r="B1632" s="5" t="s">
        <v>1715</v>
      </c>
      <c r="C1632" s="5" t="s">
        <v>11</v>
      </c>
      <c r="D1632" s="5" t="s">
        <v>12</v>
      </c>
      <c r="E1632" s="5" t="s">
        <v>963</v>
      </c>
    </row>
    <row r="1633" spans="1:5" x14ac:dyDescent="0.25">
      <c r="A1633" s="5">
        <f>1625</f>
      </c>
      <c r="B1633" s="5" t="s">
        <v>1716</v>
      </c>
      <c r="C1633" s="5" t="s">
        <v>11</v>
      </c>
      <c r="D1633" s="5" t="s">
        <v>12</v>
      </c>
      <c r="E1633" s="5" t="s">
        <v>963</v>
      </c>
    </row>
    <row r="1634" spans="1:5" x14ac:dyDescent="0.25">
      <c r="A1634" s="5">
        <f>1626</f>
      </c>
      <c r="B1634" s="5" t="s">
        <v>1717</v>
      </c>
      <c r="C1634" s="5" t="s">
        <v>11</v>
      </c>
      <c r="D1634" s="5" t="s">
        <v>12</v>
      </c>
      <c r="E1634" s="5" t="s">
        <v>963</v>
      </c>
    </row>
    <row r="1635" spans="1:5" x14ac:dyDescent="0.25">
      <c r="A1635" s="5">
        <f>1627</f>
      </c>
      <c r="B1635" s="5" t="s">
        <v>1718</v>
      </c>
      <c r="C1635" s="5" t="s">
        <v>11</v>
      </c>
      <c r="D1635" s="5" t="s">
        <v>12</v>
      </c>
      <c r="E1635" s="5" t="s">
        <v>963</v>
      </c>
    </row>
    <row r="1636" spans="1:5" x14ac:dyDescent="0.25">
      <c r="A1636" s="5">
        <f>1628</f>
      </c>
      <c r="B1636" s="5" t="s">
        <v>1719</v>
      </c>
      <c r="C1636" s="5" t="s">
        <v>11</v>
      </c>
      <c r="D1636" s="5" t="s">
        <v>12</v>
      </c>
      <c r="E1636" s="5" t="s">
        <v>963</v>
      </c>
    </row>
    <row r="1637" spans="1:5" x14ac:dyDescent="0.25">
      <c r="A1637" s="5">
        <f>1629</f>
      </c>
      <c r="B1637" s="5" t="s">
        <v>1720</v>
      </c>
      <c r="C1637" s="5" t="s">
        <v>11</v>
      </c>
      <c r="D1637" s="5" t="s">
        <v>12</v>
      </c>
      <c r="E1637" s="5" t="s">
        <v>963</v>
      </c>
    </row>
    <row r="1638" spans="1:5" x14ac:dyDescent="0.25">
      <c r="A1638" s="5">
        <f>1630</f>
      </c>
      <c r="B1638" s="5" t="s">
        <v>1721</v>
      </c>
      <c r="C1638" s="5" t="s">
        <v>11</v>
      </c>
      <c r="D1638" s="5" t="s">
        <v>12</v>
      </c>
      <c r="E1638" s="5" t="s">
        <v>963</v>
      </c>
    </row>
    <row r="1639" spans="1:5" x14ac:dyDescent="0.25">
      <c r="A1639" s="5">
        <f>1631</f>
      </c>
      <c r="B1639" s="5" t="s">
        <v>1722</v>
      </c>
      <c r="C1639" s="5" t="s">
        <v>11</v>
      </c>
      <c r="D1639" s="5" t="s">
        <v>12</v>
      </c>
      <c r="E1639" s="5" t="s">
        <v>963</v>
      </c>
    </row>
    <row r="1640" spans="1:5" x14ac:dyDescent="0.25">
      <c r="A1640" s="5">
        <f>1632</f>
      </c>
      <c r="B1640" s="5" t="s">
        <v>1723</v>
      </c>
      <c r="C1640" s="5" t="s">
        <v>11</v>
      </c>
      <c r="D1640" s="5" t="s">
        <v>12</v>
      </c>
      <c r="E1640" s="5" t="s">
        <v>963</v>
      </c>
    </row>
    <row r="1641" spans="1:5" x14ac:dyDescent="0.25">
      <c r="A1641" s="5">
        <f>1633</f>
      </c>
      <c r="B1641" s="5" t="s">
        <v>1724</v>
      </c>
      <c r="C1641" s="5" t="s">
        <v>11</v>
      </c>
      <c r="D1641" s="5" t="s">
        <v>12</v>
      </c>
      <c r="E1641" s="5" t="s">
        <v>963</v>
      </c>
    </row>
    <row r="1642" spans="1:5" x14ac:dyDescent="0.25">
      <c r="A1642" s="5">
        <f>1634</f>
      </c>
      <c r="B1642" s="5" t="s">
        <v>1725</v>
      </c>
      <c r="C1642" s="5" t="s">
        <v>11</v>
      </c>
      <c r="D1642" s="5" t="s">
        <v>12</v>
      </c>
      <c r="E1642" s="5" t="s">
        <v>963</v>
      </c>
    </row>
    <row r="1643" spans="1:5" x14ac:dyDescent="0.25">
      <c r="A1643" s="5">
        <f>1635</f>
      </c>
      <c r="B1643" s="5" t="s">
        <v>1726</v>
      </c>
      <c r="C1643" s="5" t="s">
        <v>11</v>
      </c>
      <c r="D1643" s="5" t="s">
        <v>12</v>
      </c>
      <c r="E1643" s="5" t="s">
        <v>963</v>
      </c>
    </row>
    <row r="1644" spans="1:5" x14ac:dyDescent="0.25">
      <c r="A1644" s="5">
        <f>1636</f>
      </c>
      <c r="B1644" s="5" t="s">
        <v>1727</v>
      </c>
      <c r="C1644" s="5" t="s">
        <v>11</v>
      </c>
      <c r="D1644" s="5" t="s">
        <v>12</v>
      </c>
      <c r="E1644" s="5" t="s">
        <v>963</v>
      </c>
    </row>
    <row r="1645" spans="1:5" x14ac:dyDescent="0.25">
      <c r="A1645" s="5">
        <f>1637</f>
      </c>
      <c r="B1645" s="5" t="s">
        <v>1728</v>
      </c>
      <c r="C1645" s="5" t="s">
        <v>11</v>
      </c>
      <c r="D1645" s="5" t="s">
        <v>12</v>
      </c>
      <c r="E1645" s="5" t="s">
        <v>963</v>
      </c>
    </row>
    <row r="1646" spans="1:5" x14ac:dyDescent="0.25">
      <c r="A1646" s="5">
        <f>1638</f>
      </c>
      <c r="B1646" s="5" t="s">
        <v>1729</v>
      </c>
      <c r="C1646" s="5" t="s">
        <v>11</v>
      </c>
      <c r="D1646" s="5" t="s">
        <v>12</v>
      </c>
      <c r="E1646" s="5" t="s">
        <v>963</v>
      </c>
    </row>
    <row r="1647" spans="1:5" x14ac:dyDescent="0.25">
      <c r="A1647" s="5">
        <f>1639</f>
      </c>
      <c r="B1647" s="5" t="s">
        <v>1730</v>
      </c>
      <c r="C1647" s="5" t="s">
        <v>11</v>
      </c>
      <c r="D1647" s="5" t="s">
        <v>12</v>
      </c>
      <c r="E1647" s="5" t="s">
        <v>963</v>
      </c>
    </row>
    <row r="1648" spans="1:5" x14ac:dyDescent="0.25">
      <c r="A1648" s="5">
        <f>1640</f>
      </c>
      <c r="B1648" s="5" t="s">
        <v>1731</v>
      </c>
      <c r="C1648" s="5" t="s">
        <v>11</v>
      </c>
      <c r="D1648" s="5" t="s">
        <v>12</v>
      </c>
      <c r="E1648" s="5" t="s">
        <v>963</v>
      </c>
    </row>
    <row r="1649" spans="1:5" x14ac:dyDescent="0.25">
      <c r="A1649" s="5">
        <f>1641</f>
      </c>
      <c r="B1649" s="5" t="s">
        <v>1732</v>
      </c>
      <c r="C1649" s="5" t="s">
        <v>11</v>
      </c>
      <c r="D1649" s="5" t="s">
        <v>12</v>
      </c>
      <c r="E1649" s="5" t="s">
        <v>963</v>
      </c>
    </row>
    <row r="1650" spans="1:5" x14ac:dyDescent="0.25">
      <c r="A1650" s="5">
        <f>1642</f>
      </c>
      <c r="B1650" s="5" t="s">
        <v>1733</v>
      </c>
      <c r="C1650" s="5" t="s">
        <v>11</v>
      </c>
      <c r="D1650" s="5" t="s">
        <v>12</v>
      </c>
      <c r="E1650" s="5" t="s">
        <v>963</v>
      </c>
    </row>
    <row r="1651" spans="1:5" x14ac:dyDescent="0.25">
      <c r="A1651" s="5">
        <f>1643</f>
      </c>
      <c r="B1651" s="5" t="s">
        <v>1734</v>
      </c>
      <c r="C1651" s="5" t="s">
        <v>11</v>
      </c>
      <c r="D1651" s="5" t="s">
        <v>12</v>
      </c>
      <c r="E1651" s="5" t="s">
        <v>963</v>
      </c>
    </row>
    <row r="1652" spans="1:5" x14ac:dyDescent="0.25">
      <c r="A1652" s="5">
        <f>1644</f>
      </c>
      <c r="B1652" s="5" t="s">
        <v>1735</v>
      </c>
      <c r="C1652" s="5" t="s">
        <v>11</v>
      </c>
      <c r="D1652" s="5" t="s">
        <v>12</v>
      </c>
      <c r="E1652" s="5" t="s">
        <v>963</v>
      </c>
    </row>
    <row r="1653" spans="1:5" x14ac:dyDescent="0.25">
      <c r="A1653" s="5">
        <f>1645</f>
      </c>
      <c r="B1653" s="5" t="s">
        <v>1736</v>
      </c>
      <c r="C1653" s="5" t="s">
        <v>11</v>
      </c>
      <c r="D1653" s="5" t="s">
        <v>12</v>
      </c>
      <c r="E1653" s="5" t="s">
        <v>963</v>
      </c>
    </row>
    <row r="1654" spans="1:5" x14ac:dyDescent="0.25">
      <c r="A1654" s="5">
        <f>1646</f>
      </c>
      <c r="B1654" s="5" t="s">
        <v>1737</v>
      </c>
      <c r="C1654" s="5" t="s">
        <v>11</v>
      </c>
      <c r="D1654" s="5" t="s">
        <v>12</v>
      </c>
      <c r="E1654" s="5" t="s">
        <v>963</v>
      </c>
    </row>
    <row r="1655" spans="1:5" x14ac:dyDescent="0.25">
      <c r="A1655" s="5">
        <f>1647</f>
      </c>
      <c r="B1655" s="5" t="s">
        <v>1738</v>
      </c>
      <c r="C1655" s="5" t="s">
        <v>11</v>
      </c>
      <c r="D1655" s="5" t="s">
        <v>12</v>
      </c>
      <c r="E1655" s="5" t="s">
        <v>963</v>
      </c>
    </row>
    <row r="1656" spans="1:5" x14ac:dyDescent="0.25">
      <c r="A1656" s="5">
        <f>1648</f>
      </c>
      <c r="B1656" s="5" t="s">
        <v>1739</v>
      </c>
      <c r="C1656" s="5" t="s">
        <v>11</v>
      </c>
      <c r="D1656" s="5" t="s">
        <v>12</v>
      </c>
      <c r="E1656" s="5" t="s">
        <v>963</v>
      </c>
    </row>
    <row r="1657" spans="1:5" x14ac:dyDescent="0.25">
      <c r="A1657" s="5">
        <f>1649</f>
      </c>
      <c r="B1657" s="5" t="s">
        <v>1740</v>
      </c>
      <c r="C1657" s="5" t="s">
        <v>11</v>
      </c>
      <c r="D1657" s="5" t="s">
        <v>12</v>
      </c>
      <c r="E1657" s="5" t="s">
        <v>963</v>
      </c>
    </row>
    <row r="1658" spans="1:5" x14ac:dyDescent="0.25">
      <c r="A1658" s="5">
        <f>1650</f>
      </c>
      <c r="B1658" s="5" t="s">
        <v>1741</v>
      </c>
      <c r="C1658" s="5" t="s">
        <v>11</v>
      </c>
      <c r="D1658" s="5" t="s">
        <v>12</v>
      </c>
      <c r="E1658" s="5" t="s">
        <v>963</v>
      </c>
    </row>
    <row r="1659" spans="1:5" x14ac:dyDescent="0.25">
      <c r="A1659" s="5">
        <f>1651</f>
      </c>
      <c r="B1659" s="5" t="s">
        <v>1742</v>
      </c>
      <c r="C1659" s="5" t="s">
        <v>11</v>
      </c>
      <c r="D1659" s="5" t="s">
        <v>12</v>
      </c>
      <c r="E1659" s="5" t="s">
        <v>963</v>
      </c>
    </row>
    <row r="1660" spans="1:5" x14ac:dyDescent="0.25">
      <c r="A1660" s="5">
        <f>1652</f>
      </c>
      <c r="B1660" s="5" t="s">
        <v>1743</v>
      </c>
      <c r="C1660" s="5" t="s">
        <v>11</v>
      </c>
      <c r="D1660" s="5" t="s">
        <v>12</v>
      </c>
      <c r="E1660" s="5" t="s">
        <v>963</v>
      </c>
    </row>
    <row r="1661" spans="1:5" x14ac:dyDescent="0.25">
      <c r="A1661" s="5">
        <f>1653</f>
      </c>
      <c r="B1661" s="5" t="s">
        <v>1744</v>
      </c>
      <c r="C1661" s="5" t="s">
        <v>11</v>
      </c>
      <c r="D1661" s="5" t="s">
        <v>12</v>
      </c>
      <c r="E1661" s="5" t="s">
        <v>963</v>
      </c>
    </row>
    <row r="1662" spans="1:5" x14ac:dyDescent="0.25">
      <c r="A1662" s="5">
        <f>1654</f>
      </c>
      <c r="B1662" s="5" t="s">
        <v>1745</v>
      </c>
      <c r="C1662" s="5" t="s">
        <v>11</v>
      </c>
      <c r="D1662" s="5" t="s">
        <v>12</v>
      </c>
      <c r="E1662" s="5" t="s">
        <v>963</v>
      </c>
    </row>
    <row r="1663" spans="1:5" x14ac:dyDescent="0.25">
      <c r="A1663" s="5">
        <f>1655</f>
      </c>
      <c r="B1663" s="5" t="s">
        <v>1746</v>
      </c>
      <c r="C1663" s="5" t="s">
        <v>11</v>
      </c>
      <c r="D1663" s="5" t="s">
        <v>12</v>
      </c>
      <c r="E1663" s="5" t="s">
        <v>963</v>
      </c>
    </row>
    <row r="1664" spans="1:5" x14ac:dyDescent="0.25">
      <c r="A1664" s="5">
        <f>1656</f>
      </c>
      <c r="B1664" s="5" t="s">
        <v>1747</v>
      </c>
      <c r="C1664" s="5" t="s">
        <v>11</v>
      </c>
      <c r="D1664" s="5" t="s">
        <v>12</v>
      </c>
      <c r="E1664" s="5" t="s">
        <v>963</v>
      </c>
    </row>
    <row r="1665" spans="1:5" x14ac:dyDescent="0.25">
      <c r="A1665" s="5">
        <f>1657</f>
      </c>
      <c r="B1665" s="5" t="s">
        <v>1748</v>
      </c>
      <c r="C1665" s="5" t="s">
        <v>11</v>
      </c>
      <c r="D1665" s="5" t="s">
        <v>12</v>
      </c>
      <c r="E1665" s="5" t="s">
        <v>963</v>
      </c>
    </row>
    <row r="1666" spans="1:5" x14ac:dyDescent="0.25">
      <c r="A1666" s="5">
        <f>1658</f>
      </c>
      <c r="B1666" s="5" t="s">
        <v>1749</v>
      </c>
      <c r="C1666" s="5" t="s">
        <v>11</v>
      </c>
      <c r="D1666" s="5" t="s">
        <v>12</v>
      </c>
      <c r="E1666" s="5" t="s">
        <v>963</v>
      </c>
    </row>
    <row r="1667" spans="1:5" x14ac:dyDescent="0.25">
      <c r="A1667" s="5">
        <f>1659</f>
      </c>
      <c r="B1667" s="5" t="s">
        <v>1750</v>
      </c>
      <c r="C1667" s="5" t="s">
        <v>11</v>
      </c>
      <c r="D1667" s="5" t="s">
        <v>12</v>
      </c>
      <c r="E1667" s="5" t="s">
        <v>963</v>
      </c>
    </row>
    <row r="1668" spans="1:5" x14ac:dyDescent="0.25">
      <c r="A1668" s="5">
        <f>1660</f>
      </c>
      <c r="B1668" s="5" t="s">
        <v>1751</v>
      </c>
      <c r="C1668" s="5" t="s">
        <v>11</v>
      </c>
      <c r="D1668" s="5" t="s">
        <v>12</v>
      </c>
      <c r="E1668" s="5" t="s">
        <v>963</v>
      </c>
    </row>
    <row r="1669" spans="1:5" x14ac:dyDescent="0.25">
      <c r="A1669" s="5">
        <f>1661</f>
      </c>
      <c r="B1669" s="5" t="s">
        <v>1752</v>
      </c>
      <c r="C1669" s="5" t="s">
        <v>11</v>
      </c>
      <c r="D1669" s="5" t="s">
        <v>12</v>
      </c>
      <c r="E1669" s="5" t="s">
        <v>963</v>
      </c>
    </row>
    <row r="1670" spans="1:5" x14ac:dyDescent="0.25">
      <c r="A1670" s="5">
        <f>1662</f>
      </c>
      <c r="B1670" s="5" t="s">
        <v>1753</v>
      </c>
      <c r="C1670" s="5" t="s">
        <v>11</v>
      </c>
      <c r="D1670" s="5" t="s">
        <v>12</v>
      </c>
      <c r="E1670" s="5" t="s">
        <v>963</v>
      </c>
    </row>
    <row r="1671" spans="1:5" x14ac:dyDescent="0.25">
      <c r="A1671" s="5">
        <f>1663</f>
      </c>
      <c r="B1671" s="5" t="s">
        <v>1754</v>
      </c>
      <c r="C1671" s="5" t="s">
        <v>11</v>
      </c>
      <c r="D1671" s="5" t="s">
        <v>12</v>
      </c>
      <c r="E1671" s="5" t="s">
        <v>963</v>
      </c>
    </row>
    <row r="1672" spans="1:5" x14ac:dyDescent="0.25">
      <c r="A1672" s="5">
        <f>1664</f>
      </c>
      <c r="B1672" s="5" t="s">
        <v>1755</v>
      </c>
      <c r="C1672" s="5" t="s">
        <v>11</v>
      </c>
      <c r="D1672" s="5" t="s">
        <v>12</v>
      </c>
      <c r="E1672" s="5" t="s">
        <v>963</v>
      </c>
    </row>
    <row r="1673" spans="1:5" x14ac:dyDescent="0.25">
      <c r="A1673" s="5">
        <f>1665</f>
      </c>
      <c r="B1673" s="5" t="s">
        <v>1756</v>
      </c>
      <c r="C1673" s="5" t="s">
        <v>11</v>
      </c>
      <c r="D1673" s="5" t="s">
        <v>12</v>
      </c>
      <c r="E1673" s="5" t="s">
        <v>963</v>
      </c>
    </row>
    <row r="1674" spans="1:5" x14ac:dyDescent="0.25">
      <c r="A1674" s="5">
        <f>1666</f>
      </c>
      <c r="B1674" s="5" t="s">
        <v>1757</v>
      </c>
      <c r="C1674" s="5" t="s">
        <v>11</v>
      </c>
      <c r="D1674" s="5" t="s">
        <v>12</v>
      </c>
      <c r="E1674" s="5" t="s">
        <v>963</v>
      </c>
    </row>
    <row r="1675" spans="1:5" x14ac:dyDescent="0.25">
      <c r="A1675" s="5">
        <f>1667</f>
      </c>
      <c r="B1675" s="5" t="s">
        <v>1758</v>
      </c>
      <c r="C1675" s="5" t="s">
        <v>11</v>
      </c>
      <c r="D1675" s="5" t="s">
        <v>12</v>
      </c>
      <c r="E1675" s="5" t="s">
        <v>963</v>
      </c>
    </row>
    <row r="1676" spans="1:5" x14ac:dyDescent="0.25">
      <c r="A1676" s="5">
        <f>1668</f>
      </c>
      <c r="B1676" s="5" t="s">
        <v>1759</v>
      </c>
      <c r="C1676" s="5" t="s">
        <v>11</v>
      </c>
      <c r="D1676" s="5" t="s">
        <v>12</v>
      </c>
      <c r="E1676" s="5" t="s">
        <v>963</v>
      </c>
    </row>
    <row r="1677" spans="1:5" x14ac:dyDescent="0.25">
      <c r="A1677" s="5">
        <f>1669</f>
      </c>
      <c r="B1677" s="5" t="s">
        <v>1760</v>
      </c>
      <c r="C1677" s="5" t="s">
        <v>11</v>
      </c>
      <c r="D1677" s="5" t="s">
        <v>12</v>
      </c>
      <c r="E1677" s="5" t="s">
        <v>963</v>
      </c>
    </row>
    <row r="1678" spans="1:5" x14ac:dyDescent="0.25">
      <c r="A1678" s="5">
        <f>1670</f>
      </c>
      <c r="B1678" s="5" t="s">
        <v>1761</v>
      </c>
      <c r="C1678" s="5" t="s">
        <v>11</v>
      </c>
      <c r="D1678" s="5" t="s">
        <v>12</v>
      </c>
      <c r="E1678" s="5" t="s">
        <v>963</v>
      </c>
    </row>
    <row r="1679" spans="1:5" x14ac:dyDescent="0.25">
      <c r="A1679" s="5">
        <f>1671</f>
      </c>
      <c r="B1679" s="5" t="s">
        <v>1762</v>
      </c>
      <c r="C1679" s="5" t="s">
        <v>11</v>
      </c>
      <c r="D1679" s="5" t="s">
        <v>12</v>
      </c>
      <c r="E1679" s="5" t="s">
        <v>963</v>
      </c>
    </row>
    <row r="1680" spans="1:5" x14ac:dyDescent="0.25">
      <c r="A1680" s="5">
        <f>1672</f>
      </c>
      <c r="B1680" s="5" t="s">
        <v>1763</v>
      </c>
      <c r="C1680" s="5" t="s">
        <v>11</v>
      </c>
      <c r="D1680" s="5" t="s">
        <v>12</v>
      </c>
      <c r="E1680" s="5" t="s">
        <v>963</v>
      </c>
    </row>
    <row r="1681" spans="1:5" x14ac:dyDescent="0.25">
      <c r="A1681" s="5">
        <f>1673</f>
      </c>
      <c r="B1681" s="5" t="s">
        <v>1764</v>
      </c>
      <c r="C1681" s="5" t="s">
        <v>11</v>
      </c>
      <c r="D1681" s="5" t="s">
        <v>12</v>
      </c>
      <c r="E1681" s="5" t="s">
        <v>963</v>
      </c>
    </row>
    <row r="1682" spans="1:5" x14ac:dyDescent="0.25">
      <c r="A1682" s="5">
        <f>1674</f>
      </c>
      <c r="B1682" s="5" t="s">
        <v>1765</v>
      </c>
      <c r="C1682" s="5" t="s">
        <v>11</v>
      </c>
      <c r="D1682" s="5" t="s">
        <v>12</v>
      </c>
      <c r="E1682" s="5" t="s">
        <v>963</v>
      </c>
    </row>
    <row r="1683" spans="1:5" x14ac:dyDescent="0.25">
      <c r="A1683" s="5">
        <f>1675</f>
      </c>
      <c r="B1683" s="5" t="s">
        <v>1766</v>
      </c>
      <c r="C1683" s="5" t="s">
        <v>11</v>
      </c>
      <c r="D1683" s="5" t="s">
        <v>12</v>
      </c>
      <c r="E1683" s="5" t="s">
        <v>963</v>
      </c>
    </row>
    <row r="1684" spans="1:5" x14ac:dyDescent="0.25">
      <c r="A1684" s="5">
        <f>1676</f>
      </c>
      <c r="B1684" s="5" t="s">
        <v>1767</v>
      </c>
      <c r="C1684" s="5" t="s">
        <v>11</v>
      </c>
      <c r="D1684" s="5" t="s">
        <v>12</v>
      </c>
      <c r="E1684" s="5" t="s">
        <v>963</v>
      </c>
    </row>
    <row r="1685" spans="1:5" x14ac:dyDescent="0.25">
      <c r="A1685" s="5">
        <f>1677</f>
      </c>
      <c r="B1685" s="5" t="s">
        <v>1768</v>
      </c>
      <c r="C1685" s="5" t="s">
        <v>11</v>
      </c>
      <c r="D1685" s="5" t="s">
        <v>12</v>
      </c>
      <c r="E1685" s="5" t="s">
        <v>963</v>
      </c>
    </row>
    <row r="1686" spans="1:5" x14ac:dyDescent="0.25">
      <c r="A1686" s="5">
        <f>1678</f>
      </c>
      <c r="B1686" s="5" t="s">
        <v>1769</v>
      </c>
      <c r="C1686" s="5" t="s">
        <v>11</v>
      </c>
      <c r="D1686" s="5" t="s">
        <v>12</v>
      </c>
      <c r="E1686" s="5" t="s">
        <v>963</v>
      </c>
    </row>
    <row r="1687" spans="1:5" x14ac:dyDescent="0.25">
      <c r="A1687" s="5">
        <f>1679</f>
      </c>
      <c r="B1687" s="5" t="s">
        <v>1770</v>
      </c>
      <c r="C1687" s="5" t="s">
        <v>11</v>
      </c>
      <c r="D1687" s="5" t="s">
        <v>12</v>
      </c>
      <c r="E1687" s="5" t="s">
        <v>963</v>
      </c>
    </row>
    <row r="1688" spans="1:5" x14ac:dyDescent="0.25">
      <c r="A1688" s="5">
        <f>1680</f>
      </c>
      <c r="B1688" s="5" t="s">
        <v>1771</v>
      </c>
      <c r="C1688" s="5" t="s">
        <v>11</v>
      </c>
      <c r="D1688" s="5" t="s">
        <v>12</v>
      </c>
      <c r="E1688" s="5" t="s">
        <v>963</v>
      </c>
    </row>
    <row r="1689" spans="1:5" x14ac:dyDescent="0.25">
      <c r="A1689" s="5">
        <f>1681</f>
      </c>
      <c r="B1689" s="5" t="s">
        <v>1772</v>
      </c>
      <c r="C1689" s="5" t="s">
        <v>11</v>
      </c>
      <c r="D1689" s="5" t="s">
        <v>12</v>
      </c>
      <c r="E1689" s="5" t="s">
        <v>963</v>
      </c>
    </row>
    <row r="1690" spans="1:5" x14ac:dyDescent="0.25">
      <c r="A1690" s="5">
        <f>1682</f>
      </c>
      <c r="B1690" s="5" t="s">
        <v>1773</v>
      </c>
      <c r="C1690" s="5" t="s">
        <v>11</v>
      </c>
      <c r="D1690" s="5" t="s">
        <v>12</v>
      </c>
      <c r="E1690" s="5" t="s">
        <v>963</v>
      </c>
    </row>
    <row r="1691" spans="1:5" x14ac:dyDescent="0.25">
      <c r="A1691" s="5">
        <f>1683</f>
      </c>
      <c r="B1691" s="5" t="s">
        <v>1774</v>
      </c>
      <c r="C1691" s="5" t="s">
        <v>11</v>
      </c>
      <c r="D1691" s="5" t="s">
        <v>12</v>
      </c>
      <c r="E1691" s="5" t="s">
        <v>963</v>
      </c>
    </row>
    <row r="1692" spans="1:5" x14ac:dyDescent="0.25">
      <c r="A1692" s="5">
        <f>1684</f>
      </c>
      <c r="B1692" s="5" t="s">
        <v>1775</v>
      </c>
      <c r="C1692" s="5" t="s">
        <v>11</v>
      </c>
      <c r="D1692" s="5" t="s">
        <v>12</v>
      </c>
      <c r="E1692" s="5" t="s">
        <v>963</v>
      </c>
    </row>
    <row r="1693" spans="1:5" x14ac:dyDescent="0.25">
      <c r="A1693" s="5">
        <f>1685</f>
      </c>
      <c r="B1693" s="5" t="s">
        <v>1776</v>
      </c>
      <c r="C1693" s="5" t="s">
        <v>11</v>
      </c>
      <c r="D1693" s="5" t="s">
        <v>12</v>
      </c>
      <c r="E1693" s="5" t="s">
        <v>963</v>
      </c>
    </row>
    <row r="1694" spans="1:5" x14ac:dyDescent="0.25">
      <c r="A1694" s="5">
        <f>1686</f>
      </c>
      <c r="B1694" s="5" t="s">
        <v>1777</v>
      </c>
      <c r="C1694" s="5" t="s">
        <v>11</v>
      </c>
      <c r="D1694" s="5" t="s">
        <v>12</v>
      </c>
      <c r="E1694" s="5" t="s">
        <v>963</v>
      </c>
    </row>
    <row r="1695" spans="1:5" x14ac:dyDescent="0.25">
      <c r="A1695" s="5">
        <f>1687</f>
      </c>
      <c r="B1695" s="5" t="s">
        <v>1778</v>
      </c>
      <c r="C1695" s="5" t="s">
        <v>11</v>
      </c>
      <c r="D1695" s="5" t="s">
        <v>12</v>
      </c>
      <c r="E1695" s="5" t="s">
        <v>963</v>
      </c>
    </row>
    <row r="1696" spans="1:5" x14ac:dyDescent="0.25">
      <c r="A1696" s="5">
        <f>1688</f>
      </c>
      <c r="B1696" s="5" t="s">
        <v>1779</v>
      </c>
      <c r="C1696" s="5" t="s">
        <v>11</v>
      </c>
      <c r="D1696" s="5" t="s">
        <v>12</v>
      </c>
      <c r="E1696" s="5" t="s">
        <v>963</v>
      </c>
    </row>
    <row r="1697" spans="1:5" x14ac:dyDescent="0.25">
      <c r="A1697" s="5">
        <f>1689</f>
      </c>
      <c r="B1697" s="5" t="s">
        <v>1780</v>
      </c>
      <c r="C1697" s="5" t="s">
        <v>11</v>
      </c>
      <c r="D1697" s="5" t="s">
        <v>12</v>
      </c>
      <c r="E1697" s="5" t="s">
        <v>963</v>
      </c>
    </row>
    <row r="1698" spans="1:5" x14ac:dyDescent="0.25">
      <c r="A1698" s="5">
        <f>1690</f>
      </c>
      <c r="B1698" s="5" t="s">
        <v>1781</v>
      </c>
      <c r="C1698" s="5" t="s">
        <v>11</v>
      </c>
      <c r="D1698" s="5" t="s">
        <v>12</v>
      </c>
      <c r="E1698" s="5" t="s">
        <v>963</v>
      </c>
    </row>
    <row r="1699" spans="1:5" x14ac:dyDescent="0.25">
      <c r="A1699" s="5">
        <f>1691</f>
      </c>
      <c r="B1699" s="5" t="s">
        <v>1782</v>
      </c>
      <c r="C1699" s="5" t="s">
        <v>11</v>
      </c>
      <c r="D1699" s="5" t="s">
        <v>12</v>
      </c>
      <c r="E1699" s="5" t="s">
        <v>963</v>
      </c>
    </row>
    <row r="1700" spans="1:5" x14ac:dyDescent="0.25">
      <c r="A1700" s="5">
        <f>1692</f>
      </c>
      <c r="B1700" s="5" t="s">
        <v>1783</v>
      </c>
      <c r="C1700" s="5" t="s">
        <v>11</v>
      </c>
      <c r="D1700" s="5" t="s">
        <v>12</v>
      </c>
      <c r="E1700" s="5" t="s">
        <v>963</v>
      </c>
    </row>
    <row r="1701" spans="1:5" x14ac:dyDescent="0.25">
      <c r="A1701" s="5">
        <f>1693</f>
      </c>
      <c r="B1701" s="5" t="s">
        <v>1784</v>
      </c>
      <c r="C1701" s="5" t="s">
        <v>11</v>
      </c>
      <c r="D1701" s="5" t="s">
        <v>12</v>
      </c>
      <c r="E1701" s="5" t="s">
        <v>963</v>
      </c>
    </row>
    <row r="1702" spans="1:5" x14ac:dyDescent="0.25">
      <c r="A1702" s="5">
        <f>1694</f>
      </c>
      <c r="B1702" s="5" t="s">
        <v>1785</v>
      </c>
      <c r="C1702" s="5" t="s">
        <v>11</v>
      </c>
      <c r="D1702" s="5" t="s">
        <v>12</v>
      </c>
      <c r="E1702" s="5" t="s">
        <v>963</v>
      </c>
    </row>
    <row r="1703" spans="1:5" x14ac:dyDescent="0.25">
      <c r="A1703" s="5">
        <f>1695</f>
      </c>
      <c r="B1703" s="5" t="s">
        <v>1786</v>
      </c>
      <c r="C1703" s="5" t="s">
        <v>11</v>
      </c>
      <c r="D1703" s="5" t="s">
        <v>12</v>
      </c>
      <c r="E1703" s="5" t="s">
        <v>963</v>
      </c>
    </row>
    <row r="1704" spans="1:5" x14ac:dyDescent="0.25">
      <c r="A1704" s="5">
        <f>1696</f>
      </c>
      <c r="B1704" s="5" t="s">
        <v>1787</v>
      </c>
      <c r="C1704" s="5" t="s">
        <v>11</v>
      </c>
      <c r="D1704" s="5" t="s">
        <v>12</v>
      </c>
      <c r="E1704" s="5" t="s">
        <v>963</v>
      </c>
    </row>
    <row r="1705" spans="1:5" x14ac:dyDescent="0.25">
      <c r="A1705" s="5">
        <f>1697</f>
      </c>
      <c r="B1705" s="5" t="s">
        <v>1788</v>
      </c>
      <c r="C1705" s="5" t="s">
        <v>11</v>
      </c>
      <c r="D1705" s="5" t="s">
        <v>12</v>
      </c>
      <c r="E1705" s="5" t="s">
        <v>963</v>
      </c>
    </row>
    <row r="1706" spans="1:5" x14ac:dyDescent="0.25">
      <c r="A1706" s="5">
        <f>1698</f>
      </c>
      <c r="B1706" s="5" t="s">
        <v>1789</v>
      </c>
      <c r="C1706" s="5" t="s">
        <v>11</v>
      </c>
      <c r="D1706" s="5" t="s">
        <v>12</v>
      </c>
      <c r="E1706" s="5" t="s">
        <v>963</v>
      </c>
    </row>
    <row r="1707" spans="1:5" x14ac:dyDescent="0.25">
      <c r="A1707" s="5">
        <f>1699</f>
      </c>
      <c r="B1707" s="5" t="s">
        <v>1790</v>
      </c>
      <c r="C1707" s="5" t="s">
        <v>11</v>
      </c>
      <c r="D1707" s="5" t="s">
        <v>12</v>
      </c>
      <c r="E1707" s="5" t="s">
        <v>963</v>
      </c>
    </row>
    <row r="1708" spans="1:5" x14ac:dyDescent="0.25">
      <c r="A1708" s="5">
        <f>1700</f>
      </c>
      <c r="B1708" s="5" t="s">
        <v>1791</v>
      </c>
      <c r="C1708" s="5" t="s">
        <v>11</v>
      </c>
      <c r="D1708" s="5" t="s">
        <v>12</v>
      </c>
      <c r="E1708" s="5" t="s">
        <v>963</v>
      </c>
    </row>
    <row r="1709" spans="1:5" x14ac:dyDescent="0.25">
      <c r="A1709" s="5">
        <f>1701</f>
      </c>
      <c r="B1709" s="5" t="s">
        <v>1792</v>
      </c>
      <c r="C1709" s="5" t="s">
        <v>11</v>
      </c>
      <c r="D1709" s="5" t="s">
        <v>12</v>
      </c>
      <c r="E1709" s="5" t="s">
        <v>963</v>
      </c>
    </row>
    <row r="1710" spans="1:5" x14ac:dyDescent="0.25">
      <c r="A1710" s="5">
        <f>1702</f>
      </c>
      <c r="B1710" s="5" t="s">
        <v>1793</v>
      </c>
      <c r="C1710" s="5" t="s">
        <v>11</v>
      </c>
      <c r="D1710" s="5" t="s">
        <v>12</v>
      </c>
      <c r="E1710" s="5" t="s">
        <v>963</v>
      </c>
    </row>
    <row r="1711" spans="1:5" x14ac:dyDescent="0.25">
      <c r="A1711" s="5">
        <f>1703</f>
      </c>
      <c r="B1711" s="5" t="s">
        <v>1794</v>
      </c>
      <c r="C1711" s="5" t="s">
        <v>11</v>
      </c>
      <c r="D1711" s="5" t="s">
        <v>12</v>
      </c>
      <c r="E1711" s="5" t="s">
        <v>963</v>
      </c>
    </row>
    <row r="1712" spans="1:5" x14ac:dyDescent="0.25">
      <c r="A1712" s="5">
        <f>1704</f>
      </c>
      <c r="B1712" s="5" t="s">
        <v>1795</v>
      </c>
      <c r="C1712" s="5" t="s">
        <v>11</v>
      </c>
      <c r="D1712" s="5" t="s">
        <v>12</v>
      </c>
      <c r="E1712" s="5" t="s">
        <v>963</v>
      </c>
    </row>
    <row r="1713" spans="1:5" x14ac:dyDescent="0.25">
      <c r="A1713" s="5">
        <f>1705</f>
      </c>
      <c r="B1713" s="5" t="s">
        <v>1796</v>
      </c>
      <c r="C1713" s="5" t="s">
        <v>11</v>
      </c>
      <c r="D1713" s="5" t="s">
        <v>12</v>
      </c>
      <c r="E1713" s="5" t="s">
        <v>963</v>
      </c>
    </row>
    <row r="1714" spans="1:5" x14ac:dyDescent="0.25">
      <c r="A1714" s="5">
        <f>1706</f>
      </c>
      <c r="B1714" s="5" t="s">
        <v>1797</v>
      </c>
      <c r="C1714" s="5" t="s">
        <v>11</v>
      </c>
      <c r="D1714" s="5" t="s">
        <v>12</v>
      </c>
      <c r="E1714" s="5" t="s">
        <v>963</v>
      </c>
    </row>
    <row r="1715" spans="1:5" x14ac:dyDescent="0.25">
      <c r="A1715" s="5">
        <f>1707</f>
      </c>
      <c r="B1715" s="5" t="s">
        <v>1798</v>
      </c>
      <c r="C1715" s="5" t="s">
        <v>11</v>
      </c>
      <c r="D1715" s="5" t="s">
        <v>12</v>
      </c>
      <c r="E1715" s="5" t="s">
        <v>963</v>
      </c>
    </row>
    <row r="1716" spans="1:5" x14ac:dyDescent="0.25">
      <c r="A1716" s="5">
        <f>1708</f>
      </c>
      <c r="B1716" s="5" t="s">
        <v>1799</v>
      </c>
      <c r="C1716" s="5" t="s">
        <v>11</v>
      </c>
      <c r="D1716" s="5" t="s">
        <v>12</v>
      </c>
      <c r="E1716" s="5" t="s">
        <v>963</v>
      </c>
    </row>
    <row r="1717" spans="1:5" x14ac:dyDescent="0.25">
      <c r="A1717" s="5">
        <f>1709</f>
      </c>
      <c r="B1717" s="5" t="s">
        <v>1800</v>
      </c>
      <c r="C1717" s="5" t="s">
        <v>11</v>
      </c>
      <c r="D1717" s="5" t="s">
        <v>12</v>
      </c>
      <c r="E1717" s="5" t="s">
        <v>963</v>
      </c>
    </row>
    <row r="1718" spans="1:5" x14ac:dyDescent="0.25">
      <c r="A1718" s="5">
        <f>1710</f>
      </c>
      <c r="B1718" s="5" t="s">
        <v>1801</v>
      </c>
      <c r="C1718" s="5" t="s">
        <v>11</v>
      </c>
      <c r="D1718" s="5" t="s">
        <v>12</v>
      </c>
      <c r="E1718" s="5" t="s">
        <v>963</v>
      </c>
    </row>
    <row r="1719" spans="1:5" x14ac:dyDescent="0.25">
      <c r="A1719" s="5">
        <f>1711</f>
      </c>
      <c r="B1719" s="5" t="s">
        <v>1802</v>
      </c>
      <c r="C1719" s="5" t="s">
        <v>11</v>
      </c>
      <c r="D1719" s="5" t="s">
        <v>12</v>
      </c>
      <c r="E1719" s="5" t="s">
        <v>963</v>
      </c>
    </row>
    <row r="1720" spans="1:5" x14ac:dyDescent="0.25">
      <c r="A1720" s="5">
        <f>1712</f>
      </c>
      <c r="B1720" s="5" t="s">
        <v>1803</v>
      </c>
      <c r="C1720" s="5" t="s">
        <v>11</v>
      </c>
      <c r="D1720" s="5" t="s">
        <v>12</v>
      </c>
      <c r="E1720" s="5" t="s">
        <v>963</v>
      </c>
    </row>
    <row r="1721" spans="1:5" x14ac:dyDescent="0.25">
      <c r="A1721" s="5">
        <f>1713</f>
      </c>
      <c r="B1721" s="5" t="s">
        <v>1804</v>
      </c>
      <c r="C1721" s="5" t="s">
        <v>11</v>
      </c>
      <c r="D1721" s="5" t="s">
        <v>12</v>
      </c>
      <c r="E1721" s="5" t="s">
        <v>963</v>
      </c>
    </row>
    <row r="1722" spans="1:5" x14ac:dyDescent="0.25">
      <c r="A1722" s="5">
        <f>1714</f>
      </c>
      <c r="B1722" s="5" t="s">
        <v>1805</v>
      </c>
      <c r="C1722" s="5" t="s">
        <v>11</v>
      </c>
      <c r="D1722" s="5" t="s">
        <v>12</v>
      </c>
      <c r="E1722" s="5" t="s">
        <v>963</v>
      </c>
    </row>
    <row r="1723" spans="1:5" x14ac:dyDescent="0.25">
      <c r="A1723" s="5">
        <f>1715</f>
      </c>
      <c r="B1723" s="5" t="s">
        <v>1806</v>
      </c>
      <c r="C1723" s="5" t="s">
        <v>11</v>
      </c>
      <c r="D1723" s="5" t="s">
        <v>12</v>
      </c>
      <c r="E1723" s="5" t="s">
        <v>963</v>
      </c>
    </row>
    <row r="1724" spans="1:5" x14ac:dyDescent="0.25">
      <c r="A1724" s="5">
        <f>1716</f>
      </c>
      <c r="B1724" s="5" t="s">
        <v>1807</v>
      </c>
      <c r="C1724" s="5" t="s">
        <v>11</v>
      </c>
      <c r="D1724" s="5" t="s">
        <v>12</v>
      </c>
      <c r="E1724" s="5" t="s">
        <v>963</v>
      </c>
    </row>
    <row r="1725" spans="1:5" x14ac:dyDescent="0.25">
      <c r="A1725" s="5">
        <f>1717</f>
      </c>
      <c r="B1725" s="5" t="s">
        <v>1808</v>
      </c>
      <c r="C1725" s="5" t="s">
        <v>11</v>
      </c>
      <c r="D1725" s="5" t="s">
        <v>12</v>
      </c>
      <c r="E1725" s="5" t="s">
        <v>963</v>
      </c>
    </row>
    <row r="1726" spans="1:5" x14ac:dyDescent="0.25">
      <c r="A1726" s="5">
        <f>1718</f>
      </c>
      <c r="B1726" s="5" t="s">
        <v>1809</v>
      </c>
      <c r="C1726" s="5" t="s">
        <v>11</v>
      </c>
      <c r="D1726" s="5" t="s">
        <v>12</v>
      </c>
      <c r="E1726" s="5" t="s">
        <v>963</v>
      </c>
    </row>
    <row r="1727" spans="1:5" x14ac:dyDescent="0.25">
      <c r="A1727" s="5">
        <f>1719</f>
      </c>
      <c r="B1727" s="5" t="s">
        <v>1810</v>
      </c>
      <c r="C1727" s="5" t="s">
        <v>11</v>
      </c>
      <c r="D1727" s="5" t="s">
        <v>12</v>
      </c>
      <c r="E1727" s="5" t="s">
        <v>963</v>
      </c>
    </row>
    <row r="1728" spans="1:5" x14ac:dyDescent="0.25">
      <c r="A1728" s="5">
        <f>1720</f>
      </c>
      <c r="B1728" s="5" t="s">
        <v>1811</v>
      </c>
      <c r="C1728" s="5" t="s">
        <v>11</v>
      </c>
      <c r="D1728" s="5" t="s">
        <v>12</v>
      </c>
      <c r="E1728" s="5" t="s">
        <v>963</v>
      </c>
    </row>
    <row r="1729" spans="1:5" x14ac:dyDescent="0.25">
      <c r="A1729" s="5">
        <f>1721</f>
      </c>
      <c r="B1729" s="5" t="s">
        <v>1812</v>
      </c>
      <c r="C1729" s="5" t="s">
        <v>11</v>
      </c>
      <c r="D1729" s="5" t="s">
        <v>12</v>
      </c>
      <c r="E1729" s="5" t="s">
        <v>963</v>
      </c>
    </row>
    <row r="1730" spans="1:5" x14ac:dyDescent="0.25">
      <c r="A1730" s="5">
        <f>1722</f>
      </c>
      <c r="B1730" s="5" t="s">
        <v>1813</v>
      </c>
      <c r="C1730" s="5" t="s">
        <v>11</v>
      </c>
      <c r="D1730" s="5" t="s">
        <v>12</v>
      </c>
      <c r="E1730" s="5" t="s">
        <v>963</v>
      </c>
    </row>
    <row r="1731" spans="1:5" x14ac:dyDescent="0.25">
      <c r="A1731" s="5">
        <f>1723</f>
      </c>
      <c r="B1731" s="5" t="s">
        <v>1814</v>
      </c>
      <c r="C1731" s="5" t="s">
        <v>11</v>
      </c>
      <c r="D1731" s="5" t="s">
        <v>12</v>
      </c>
      <c r="E1731" s="5" t="s">
        <v>963</v>
      </c>
    </row>
    <row r="1732" spans="1:5" x14ac:dyDescent="0.25">
      <c r="A1732" s="5">
        <f>1724</f>
      </c>
      <c r="B1732" s="5" t="s">
        <v>1815</v>
      </c>
      <c r="C1732" s="5" t="s">
        <v>11</v>
      </c>
      <c r="D1732" s="5" t="s">
        <v>12</v>
      </c>
      <c r="E1732" s="5" t="s">
        <v>963</v>
      </c>
    </row>
    <row r="1733" spans="1:5" x14ac:dyDescent="0.25">
      <c r="A1733" s="5">
        <f>1725</f>
      </c>
      <c r="B1733" s="5" t="s">
        <v>1816</v>
      </c>
      <c r="C1733" s="5" t="s">
        <v>11</v>
      </c>
      <c r="D1733" s="5" t="s">
        <v>12</v>
      </c>
      <c r="E1733" s="5" t="s">
        <v>963</v>
      </c>
    </row>
    <row r="1734" spans="1:5" x14ac:dyDescent="0.25">
      <c r="A1734" s="5">
        <f>1726</f>
      </c>
      <c r="B1734" s="5" t="s">
        <v>1817</v>
      </c>
      <c r="C1734" s="5" t="s">
        <v>11</v>
      </c>
      <c r="D1734" s="5" t="s">
        <v>12</v>
      </c>
      <c r="E1734" s="5" t="s">
        <v>963</v>
      </c>
    </row>
    <row r="1735" spans="1:5" x14ac:dyDescent="0.25">
      <c r="A1735" s="5">
        <f>1727</f>
      </c>
      <c r="B1735" s="5" t="s">
        <v>1818</v>
      </c>
      <c r="C1735" s="5" t="s">
        <v>11</v>
      </c>
      <c r="D1735" s="5" t="s">
        <v>12</v>
      </c>
      <c r="E1735" s="5" t="s">
        <v>963</v>
      </c>
    </row>
    <row r="1736" spans="1:5" x14ac:dyDescent="0.25">
      <c r="A1736" s="5">
        <f>1728</f>
      </c>
      <c r="B1736" s="5" t="s">
        <v>1819</v>
      </c>
      <c r="C1736" s="5" t="s">
        <v>11</v>
      </c>
      <c r="D1736" s="5" t="s">
        <v>12</v>
      </c>
      <c r="E1736" s="5" t="s">
        <v>963</v>
      </c>
    </row>
    <row r="1737" spans="1:5" x14ac:dyDescent="0.25">
      <c r="A1737" s="5">
        <f>1729</f>
      </c>
      <c r="B1737" s="5" t="s">
        <v>1820</v>
      </c>
      <c r="C1737" s="5" t="s">
        <v>11</v>
      </c>
      <c r="D1737" s="5" t="s">
        <v>12</v>
      </c>
      <c r="E1737" s="5" t="s">
        <v>963</v>
      </c>
    </row>
    <row r="1738" spans="1:5" x14ac:dyDescent="0.25">
      <c r="A1738" s="5">
        <f>1730</f>
      </c>
      <c r="B1738" s="5" t="s">
        <v>1821</v>
      </c>
      <c r="C1738" s="5" t="s">
        <v>11</v>
      </c>
      <c r="D1738" s="5" t="s">
        <v>12</v>
      </c>
      <c r="E1738" s="5" t="s">
        <v>963</v>
      </c>
    </row>
    <row r="1739" spans="1:5" x14ac:dyDescent="0.25">
      <c r="A1739" s="5">
        <f>1731</f>
      </c>
      <c r="B1739" s="5" t="s">
        <v>1822</v>
      </c>
      <c r="C1739" s="5" t="s">
        <v>11</v>
      </c>
      <c r="D1739" s="5" t="s">
        <v>12</v>
      </c>
      <c r="E1739" s="5" t="s">
        <v>963</v>
      </c>
    </row>
    <row r="1740" spans="1:5" x14ac:dyDescent="0.25">
      <c r="A1740" s="5">
        <f>1732</f>
      </c>
      <c r="B1740" s="5" t="s">
        <v>1823</v>
      </c>
      <c r="C1740" s="5" t="s">
        <v>11</v>
      </c>
      <c r="D1740" s="5" t="s">
        <v>12</v>
      </c>
      <c r="E1740" s="5" t="s">
        <v>963</v>
      </c>
    </row>
    <row r="1741" spans="1:5" x14ac:dyDescent="0.25">
      <c r="A1741" s="5">
        <f>1733</f>
      </c>
      <c r="B1741" s="5" t="s">
        <v>1824</v>
      </c>
      <c r="C1741" s="5" t="s">
        <v>11</v>
      </c>
      <c r="D1741" s="5" t="s">
        <v>12</v>
      </c>
      <c r="E1741" s="5" t="s">
        <v>963</v>
      </c>
    </row>
    <row r="1742" spans="1:5" x14ac:dyDescent="0.25">
      <c r="A1742" s="5">
        <f>1734</f>
      </c>
      <c r="B1742" s="5" t="s">
        <v>1825</v>
      </c>
      <c r="C1742" s="5" t="s">
        <v>11</v>
      </c>
      <c r="D1742" s="5" t="s">
        <v>12</v>
      </c>
      <c r="E1742" s="5" t="s">
        <v>963</v>
      </c>
    </row>
    <row r="1743" spans="1:5" x14ac:dyDescent="0.25">
      <c r="A1743" s="5">
        <f>1735</f>
      </c>
      <c r="B1743" s="5" t="s">
        <v>1826</v>
      </c>
      <c r="C1743" s="5" t="s">
        <v>11</v>
      </c>
      <c r="D1743" s="5" t="s">
        <v>12</v>
      </c>
      <c r="E1743" s="5" t="s">
        <v>963</v>
      </c>
    </row>
    <row r="1744" spans="1:5" x14ac:dyDescent="0.25">
      <c r="A1744" s="5">
        <f>1736</f>
      </c>
      <c r="B1744" s="5" t="s">
        <v>1827</v>
      </c>
      <c r="C1744" s="5" t="s">
        <v>11</v>
      </c>
      <c r="D1744" s="5" t="s">
        <v>12</v>
      </c>
      <c r="E1744" s="5" t="s">
        <v>963</v>
      </c>
    </row>
    <row r="1745" spans="1:5" x14ac:dyDescent="0.25">
      <c r="A1745" s="5">
        <f>1737</f>
      </c>
      <c r="B1745" s="5" t="s">
        <v>1828</v>
      </c>
      <c r="C1745" s="5" t="s">
        <v>11</v>
      </c>
      <c r="D1745" s="5" t="s">
        <v>12</v>
      </c>
      <c r="E1745" s="5" t="s">
        <v>963</v>
      </c>
    </row>
    <row r="1746" spans="1:5" x14ac:dyDescent="0.25">
      <c r="A1746" s="5">
        <f>1738</f>
      </c>
      <c r="B1746" s="5" t="s">
        <v>1829</v>
      </c>
      <c r="C1746" s="5" t="s">
        <v>11</v>
      </c>
      <c r="D1746" s="5" t="s">
        <v>12</v>
      </c>
      <c r="E1746" s="5" t="s">
        <v>963</v>
      </c>
    </row>
    <row r="1747" spans="1:5" x14ac:dyDescent="0.25">
      <c r="A1747" s="5">
        <f>1739</f>
      </c>
      <c r="B1747" s="5" t="s">
        <v>1830</v>
      </c>
      <c r="C1747" s="5" t="s">
        <v>11</v>
      </c>
      <c r="D1747" s="5" t="s">
        <v>12</v>
      </c>
      <c r="E1747" s="5" t="s">
        <v>963</v>
      </c>
    </row>
    <row r="1748" spans="1:5" x14ac:dyDescent="0.25">
      <c r="A1748" s="5">
        <f>1740</f>
      </c>
      <c r="B1748" s="5" t="s">
        <v>1831</v>
      </c>
      <c r="C1748" s="5" t="s">
        <v>11</v>
      </c>
      <c r="D1748" s="5" t="s">
        <v>12</v>
      </c>
      <c r="E1748" s="5" t="s">
        <v>963</v>
      </c>
    </row>
    <row r="1749" spans="1:5" x14ac:dyDescent="0.25">
      <c r="A1749" s="5">
        <f>1741</f>
      </c>
      <c r="B1749" s="5" t="s">
        <v>1832</v>
      </c>
      <c r="C1749" s="5" t="s">
        <v>11</v>
      </c>
      <c r="D1749" s="5" t="s">
        <v>12</v>
      </c>
      <c r="E1749" s="5" t="s">
        <v>963</v>
      </c>
    </row>
    <row r="1750" spans="1:5" x14ac:dyDescent="0.25">
      <c r="A1750" s="5">
        <f>1742</f>
      </c>
      <c r="B1750" s="5" t="s">
        <v>1833</v>
      </c>
      <c r="C1750" s="5" t="s">
        <v>11</v>
      </c>
      <c r="D1750" s="5" t="s">
        <v>12</v>
      </c>
      <c r="E1750" s="5" t="s">
        <v>963</v>
      </c>
    </row>
    <row r="1751" spans="1:5" x14ac:dyDescent="0.25">
      <c r="A1751" s="5">
        <f>1743</f>
      </c>
      <c r="B1751" s="5" t="s">
        <v>1834</v>
      </c>
      <c r="C1751" s="5" t="s">
        <v>11</v>
      </c>
      <c r="D1751" s="5" t="s">
        <v>12</v>
      </c>
      <c r="E1751" s="5" t="s">
        <v>963</v>
      </c>
    </row>
    <row r="1752" spans="1:5" x14ac:dyDescent="0.25">
      <c r="A1752" s="5">
        <f>1744</f>
      </c>
      <c r="B1752" s="5" t="s">
        <v>1835</v>
      </c>
      <c r="C1752" s="5" t="s">
        <v>11</v>
      </c>
      <c r="D1752" s="5" t="s">
        <v>12</v>
      </c>
      <c r="E1752" s="5" t="s">
        <v>963</v>
      </c>
    </row>
    <row r="1753" spans="1:5" x14ac:dyDescent="0.25">
      <c r="A1753" s="5">
        <f>1745</f>
      </c>
      <c r="B1753" s="5" t="s">
        <v>1836</v>
      </c>
      <c r="C1753" s="5" t="s">
        <v>11</v>
      </c>
      <c r="D1753" s="5" t="s">
        <v>12</v>
      </c>
      <c r="E1753" s="5" t="s">
        <v>963</v>
      </c>
    </row>
    <row r="1754" spans="1:5" x14ac:dyDescent="0.25">
      <c r="A1754" s="5">
        <f>1746</f>
      </c>
      <c r="B1754" s="5" t="s">
        <v>1837</v>
      </c>
      <c r="C1754" s="5" t="s">
        <v>11</v>
      </c>
      <c r="D1754" s="5" t="s">
        <v>12</v>
      </c>
      <c r="E1754" s="5" t="s">
        <v>963</v>
      </c>
    </row>
    <row r="1755" spans="1:5" x14ac:dyDescent="0.25">
      <c r="A1755" s="5">
        <f>1747</f>
      </c>
      <c r="B1755" s="5" t="s">
        <v>1838</v>
      </c>
      <c r="C1755" s="5" t="s">
        <v>11</v>
      </c>
      <c r="D1755" s="5" t="s">
        <v>12</v>
      </c>
      <c r="E1755" s="5" t="s">
        <v>963</v>
      </c>
    </row>
    <row r="1756" spans="1:5" x14ac:dyDescent="0.25">
      <c r="A1756" s="5">
        <f>1748</f>
      </c>
      <c r="B1756" s="5" t="s">
        <v>1839</v>
      </c>
      <c r="C1756" s="5" t="s">
        <v>11</v>
      </c>
      <c r="D1756" s="5" t="s">
        <v>12</v>
      </c>
      <c r="E1756" s="5" t="s">
        <v>963</v>
      </c>
    </row>
    <row r="1757" spans="1:5" x14ac:dyDescent="0.25">
      <c r="A1757" s="5">
        <f>1749</f>
      </c>
      <c r="B1757" s="5" t="s">
        <v>1840</v>
      </c>
      <c r="C1757" s="5" t="s">
        <v>11</v>
      </c>
      <c r="D1757" s="5" t="s">
        <v>12</v>
      </c>
      <c r="E1757" s="5" t="s">
        <v>963</v>
      </c>
    </row>
    <row r="1758" spans="1:5" x14ac:dyDescent="0.25">
      <c r="A1758" s="5">
        <f>1750</f>
      </c>
      <c r="B1758" s="5" t="s">
        <v>1841</v>
      </c>
      <c r="C1758" s="5" t="s">
        <v>11</v>
      </c>
      <c r="D1758" s="5" t="s">
        <v>12</v>
      </c>
      <c r="E1758" s="5" t="s">
        <v>963</v>
      </c>
    </row>
    <row r="1759" spans="1:5" x14ac:dyDescent="0.25">
      <c r="A1759" s="5">
        <f>1751</f>
      </c>
      <c r="B1759" s="5" t="s">
        <v>1842</v>
      </c>
      <c r="C1759" s="5" t="s">
        <v>11</v>
      </c>
      <c r="D1759" s="5" t="s">
        <v>12</v>
      </c>
      <c r="E1759" s="5" t="s">
        <v>963</v>
      </c>
    </row>
    <row r="1760" spans="1:5" x14ac:dyDescent="0.25">
      <c r="A1760" s="5">
        <f>1752</f>
      </c>
      <c r="B1760" s="5" t="s">
        <v>1843</v>
      </c>
      <c r="C1760" s="5" t="s">
        <v>11</v>
      </c>
      <c r="D1760" s="5" t="s">
        <v>12</v>
      </c>
      <c r="E1760" s="5" t="s">
        <v>963</v>
      </c>
    </row>
    <row r="1761" spans="1:5" x14ac:dyDescent="0.25">
      <c r="A1761" s="5">
        <f>1753</f>
      </c>
      <c r="B1761" s="5" t="s">
        <v>1844</v>
      </c>
      <c r="C1761" s="5" t="s">
        <v>11</v>
      </c>
      <c r="D1761" s="5" t="s">
        <v>12</v>
      </c>
      <c r="E1761" s="5" t="s">
        <v>963</v>
      </c>
    </row>
    <row r="1762" spans="1:5" x14ac:dyDescent="0.25">
      <c r="A1762" s="5">
        <f>1754</f>
      </c>
      <c r="B1762" s="5" t="s">
        <v>1845</v>
      </c>
      <c r="C1762" s="5" t="s">
        <v>11</v>
      </c>
      <c r="D1762" s="5" t="s">
        <v>12</v>
      </c>
      <c r="E1762" s="5" t="s">
        <v>963</v>
      </c>
    </row>
    <row r="1763" spans="1:5" x14ac:dyDescent="0.25">
      <c r="A1763" s="5">
        <f>1755</f>
      </c>
      <c r="B1763" s="5" t="s">
        <v>1846</v>
      </c>
      <c r="C1763" s="5" t="s">
        <v>11</v>
      </c>
      <c r="D1763" s="5" t="s">
        <v>12</v>
      </c>
      <c r="E1763" s="5" t="s">
        <v>963</v>
      </c>
    </row>
    <row r="1764" spans="1:5" x14ac:dyDescent="0.25">
      <c r="A1764" s="5">
        <f>1756</f>
      </c>
      <c r="B1764" s="5" t="s">
        <v>1847</v>
      </c>
      <c r="C1764" s="5" t="s">
        <v>11</v>
      </c>
      <c r="D1764" s="5" t="s">
        <v>12</v>
      </c>
      <c r="E1764" s="5" t="s">
        <v>963</v>
      </c>
    </row>
    <row r="1765" spans="1:5" x14ac:dyDescent="0.25">
      <c r="A1765" s="5">
        <f>1757</f>
      </c>
      <c r="B1765" s="5" t="s">
        <v>1848</v>
      </c>
      <c r="C1765" s="5" t="s">
        <v>11</v>
      </c>
      <c r="D1765" s="5" t="s">
        <v>12</v>
      </c>
      <c r="E1765" s="5" t="s">
        <v>963</v>
      </c>
    </row>
    <row r="1766" spans="1:5" x14ac:dyDescent="0.25">
      <c r="A1766" s="5">
        <f>1758</f>
      </c>
      <c r="B1766" s="5" t="s">
        <v>1849</v>
      </c>
      <c r="C1766" s="5" t="s">
        <v>11</v>
      </c>
      <c r="D1766" s="5" t="s">
        <v>12</v>
      </c>
      <c r="E1766" s="5" t="s">
        <v>963</v>
      </c>
    </row>
    <row r="1767" spans="1:5" x14ac:dyDescent="0.25">
      <c r="A1767" s="5">
        <f>1759</f>
      </c>
      <c r="B1767" s="5" t="s">
        <v>1850</v>
      </c>
      <c r="C1767" s="5" t="s">
        <v>11</v>
      </c>
      <c r="D1767" s="5" t="s">
        <v>12</v>
      </c>
      <c r="E1767" s="5" t="s">
        <v>963</v>
      </c>
    </row>
    <row r="1768" spans="1:5" x14ac:dyDescent="0.25">
      <c r="A1768" s="5">
        <f>1760</f>
      </c>
      <c r="B1768" s="5" t="s">
        <v>1851</v>
      </c>
      <c r="C1768" s="5" t="s">
        <v>11</v>
      </c>
      <c r="D1768" s="5" t="s">
        <v>12</v>
      </c>
      <c r="E1768" s="5" t="s">
        <v>963</v>
      </c>
    </row>
    <row r="1769" spans="1:5" x14ac:dyDescent="0.25">
      <c r="A1769" s="5">
        <f>1761</f>
      </c>
      <c r="B1769" s="5" t="s">
        <v>1852</v>
      </c>
      <c r="C1769" s="5" t="s">
        <v>11</v>
      </c>
      <c r="D1769" s="5" t="s">
        <v>12</v>
      </c>
      <c r="E1769" s="5" t="s">
        <v>963</v>
      </c>
    </row>
    <row r="1770" spans="1:5" x14ac:dyDescent="0.25">
      <c r="A1770" s="5">
        <f>1762</f>
      </c>
      <c r="B1770" s="5" t="s">
        <v>1853</v>
      </c>
      <c r="C1770" s="5" t="s">
        <v>11</v>
      </c>
      <c r="D1770" s="5" t="s">
        <v>12</v>
      </c>
      <c r="E1770" s="5" t="s">
        <v>963</v>
      </c>
    </row>
    <row r="1771" spans="1:5" x14ac:dyDescent="0.25">
      <c r="A1771" s="5">
        <f>1763</f>
      </c>
      <c r="B1771" s="5" t="s">
        <v>1854</v>
      </c>
      <c r="C1771" s="5" t="s">
        <v>11</v>
      </c>
      <c r="D1771" s="5" t="s">
        <v>12</v>
      </c>
      <c r="E1771" s="5" t="s">
        <v>963</v>
      </c>
    </row>
    <row r="1772" spans="1:5" x14ac:dyDescent="0.25">
      <c r="A1772" s="5">
        <f>1764</f>
      </c>
      <c r="B1772" s="5" t="s">
        <v>1855</v>
      </c>
      <c r="C1772" s="5" t="s">
        <v>11</v>
      </c>
      <c r="D1772" s="5" t="s">
        <v>12</v>
      </c>
      <c r="E1772" s="5" t="s">
        <v>963</v>
      </c>
    </row>
    <row r="1773" spans="1:5" x14ac:dyDescent="0.25">
      <c r="A1773" s="5">
        <f>1765</f>
      </c>
      <c r="B1773" s="5" t="s">
        <v>1856</v>
      </c>
      <c r="C1773" s="5" t="s">
        <v>11</v>
      </c>
      <c r="D1773" s="5" t="s">
        <v>12</v>
      </c>
      <c r="E1773" s="5" t="s">
        <v>963</v>
      </c>
    </row>
    <row r="1774" spans="1:5" x14ac:dyDescent="0.25">
      <c r="A1774" s="5">
        <f>1766</f>
      </c>
      <c r="B1774" s="5" t="s">
        <v>1857</v>
      </c>
      <c r="C1774" s="5" t="s">
        <v>11</v>
      </c>
      <c r="D1774" s="5" t="s">
        <v>12</v>
      </c>
      <c r="E1774" s="5" t="s">
        <v>963</v>
      </c>
    </row>
    <row r="1775" spans="1:5" x14ac:dyDescent="0.25">
      <c r="A1775" s="5">
        <f>1767</f>
      </c>
      <c r="B1775" s="5" t="s">
        <v>1858</v>
      </c>
      <c r="C1775" s="5" t="s">
        <v>11</v>
      </c>
      <c r="D1775" s="5" t="s">
        <v>12</v>
      </c>
      <c r="E1775" s="5" t="s">
        <v>963</v>
      </c>
    </row>
    <row r="1776" spans="1:5" x14ac:dyDescent="0.25">
      <c r="A1776" s="5">
        <f>1768</f>
      </c>
      <c r="B1776" s="5" t="s">
        <v>1859</v>
      </c>
      <c r="C1776" s="5" t="s">
        <v>11</v>
      </c>
      <c r="D1776" s="5" t="s">
        <v>12</v>
      </c>
      <c r="E1776" s="5" t="s">
        <v>963</v>
      </c>
    </row>
    <row r="1777" spans="1:5" x14ac:dyDescent="0.25">
      <c r="A1777" s="5">
        <f>1769</f>
      </c>
      <c r="B1777" s="5" t="s">
        <v>1860</v>
      </c>
      <c r="C1777" s="5" t="s">
        <v>11</v>
      </c>
      <c r="D1777" s="5" t="s">
        <v>12</v>
      </c>
      <c r="E1777" s="5" t="s">
        <v>963</v>
      </c>
    </row>
    <row r="1778" spans="1:5" x14ac:dyDescent="0.25">
      <c r="A1778" s="5">
        <f>1770</f>
      </c>
      <c r="B1778" s="5" t="s">
        <v>1861</v>
      </c>
      <c r="C1778" s="5" t="s">
        <v>11</v>
      </c>
      <c r="D1778" s="5" t="s">
        <v>12</v>
      </c>
      <c r="E1778" s="5" t="s">
        <v>963</v>
      </c>
    </row>
    <row r="1779" spans="1:5" x14ac:dyDescent="0.25">
      <c r="A1779" s="5">
        <f>1771</f>
      </c>
      <c r="B1779" s="5" t="s">
        <v>1862</v>
      </c>
      <c r="C1779" s="5" t="s">
        <v>11</v>
      </c>
      <c r="D1779" s="5" t="s">
        <v>12</v>
      </c>
      <c r="E1779" s="5" t="s">
        <v>963</v>
      </c>
    </row>
    <row r="1780" spans="1:5" x14ac:dyDescent="0.25">
      <c r="A1780" s="5">
        <f>1772</f>
      </c>
      <c r="B1780" s="5" t="s">
        <v>1863</v>
      </c>
      <c r="C1780" s="5" t="s">
        <v>11</v>
      </c>
      <c r="D1780" s="5" t="s">
        <v>12</v>
      </c>
      <c r="E1780" s="5" t="s">
        <v>963</v>
      </c>
    </row>
    <row r="1781" spans="1:5" x14ac:dyDescent="0.25">
      <c r="A1781" s="5">
        <f>1773</f>
      </c>
      <c r="B1781" s="5" t="s">
        <v>1864</v>
      </c>
      <c r="C1781" s="5" t="s">
        <v>11</v>
      </c>
      <c r="D1781" s="5" t="s">
        <v>12</v>
      </c>
      <c r="E1781" s="5" t="s">
        <v>963</v>
      </c>
    </row>
    <row r="1782" spans="1:5" x14ac:dyDescent="0.25">
      <c r="A1782" s="5">
        <f>1774</f>
      </c>
      <c r="B1782" s="5" t="s">
        <v>1865</v>
      </c>
      <c r="C1782" s="5" t="s">
        <v>11</v>
      </c>
      <c r="D1782" s="5" t="s">
        <v>12</v>
      </c>
      <c r="E1782" s="5" t="s">
        <v>963</v>
      </c>
    </row>
    <row r="1783" spans="1:5" x14ac:dyDescent="0.25">
      <c r="A1783" s="5">
        <f>1775</f>
      </c>
      <c r="B1783" s="5" t="s">
        <v>1866</v>
      </c>
      <c r="C1783" s="5" t="s">
        <v>11</v>
      </c>
      <c r="D1783" s="5" t="s">
        <v>12</v>
      </c>
      <c r="E1783" s="5" t="s">
        <v>963</v>
      </c>
    </row>
    <row r="1784" spans="1:5" x14ac:dyDescent="0.25">
      <c r="A1784" s="5">
        <f>1776</f>
      </c>
      <c r="B1784" s="5" t="s">
        <v>1867</v>
      </c>
      <c r="C1784" s="5" t="s">
        <v>11</v>
      </c>
      <c r="D1784" s="5" t="s">
        <v>12</v>
      </c>
      <c r="E1784" s="5" t="s">
        <v>963</v>
      </c>
    </row>
    <row r="1785" spans="1:5" x14ac:dyDescent="0.25">
      <c r="A1785" s="5">
        <f>1777</f>
      </c>
      <c r="B1785" s="5" t="s">
        <v>1868</v>
      </c>
      <c r="C1785" s="5" t="s">
        <v>11</v>
      </c>
      <c r="D1785" s="5" t="s">
        <v>12</v>
      </c>
      <c r="E1785" s="5" t="s">
        <v>963</v>
      </c>
    </row>
    <row r="1786" spans="1:5" x14ac:dyDescent="0.25">
      <c r="A1786" s="5">
        <f>1778</f>
      </c>
      <c r="B1786" s="5" t="s">
        <v>1869</v>
      </c>
      <c r="C1786" s="5" t="s">
        <v>11</v>
      </c>
      <c r="D1786" s="5" t="s">
        <v>12</v>
      </c>
      <c r="E1786" s="5" t="s">
        <v>963</v>
      </c>
    </row>
    <row r="1787" spans="1:5" x14ac:dyDescent="0.25">
      <c r="A1787" s="5">
        <f>1779</f>
      </c>
      <c r="B1787" s="5" t="s">
        <v>1870</v>
      </c>
      <c r="C1787" s="5" t="s">
        <v>11</v>
      </c>
      <c r="D1787" s="5" t="s">
        <v>12</v>
      </c>
      <c r="E1787" s="5" t="s">
        <v>963</v>
      </c>
    </row>
    <row r="1788" spans="1:5" x14ac:dyDescent="0.25">
      <c r="A1788" s="5">
        <f>1780</f>
      </c>
      <c r="B1788" s="5" t="s">
        <v>1871</v>
      </c>
      <c r="C1788" s="5" t="s">
        <v>11</v>
      </c>
      <c r="D1788" s="5" t="s">
        <v>12</v>
      </c>
      <c r="E1788" s="5" t="s">
        <v>963</v>
      </c>
    </row>
    <row r="1789" spans="1:5" x14ac:dyDescent="0.25">
      <c r="A1789" s="5">
        <f>1781</f>
      </c>
      <c r="B1789" s="5" t="s">
        <v>1872</v>
      </c>
      <c r="C1789" s="5" t="s">
        <v>11</v>
      </c>
      <c r="D1789" s="5" t="s">
        <v>12</v>
      </c>
      <c r="E1789" s="5" t="s">
        <v>963</v>
      </c>
    </row>
    <row r="1790" spans="1:5" x14ac:dyDescent="0.25">
      <c r="A1790" s="5">
        <f>1782</f>
      </c>
      <c r="B1790" s="5" t="s">
        <v>1873</v>
      </c>
      <c r="C1790" s="5" t="s">
        <v>11</v>
      </c>
      <c r="D1790" s="5" t="s">
        <v>12</v>
      </c>
      <c r="E1790" s="5" t="s">
        <v>963</v>
      </c>
    </row>
    <row r="1791" spans="1:5" x14ac:dyDescent="0.25">
      <c r="A1791" s="5">
        <f>1783</f>
      </c>
      <c r="B1791" s="5" t="s">
        <v>1874</v>
      </c>
      <c r="C1791" s="5" t="s">
        <v>11</v>
      </c>
      <c r="D1791" s="5" t="s">
        <v>12</v>
      </c>
      <c r="E1791" s="5" t="s">
        <v>963</v>
      </c>
    </row>
    <row r="1792" spans="1:5" x14ac:dyDescent="0.25">
      <c r="A1792" s="5">
        <f>1784</f>
      </c>
      <c r="B1792" s="5" t="s">
        <v>1875</v>
      </c>
      <c r="C1792" s="5" t="s">
        <v>11</v>
      </c>
      <c r="D1792" s="5" t="s">
        <v>12</v>
      </c>
      <c r="E1792" s="5" t="s">
        <v>963</v>
      </c>
    </row>
    <row r="1793" spans="1:5" x14ac:dyDescent="0.25">
      <c r="A1793" s="5">
        <f>1785</f>
      </c>
      <c r="B1793" s="5" t="s">
        <v>1876</v>
      </c>
      <c r="C1793" s="5" t="s">
        <v>11</v>
      </c>
      <c r="D1793" s="5" t="s">
        <v>12</v>
      </c>
      <c r="E1793" s="5" t="s">
        <v>963</v>
      </c>
    </row>
    <row r="1794" spans="1:5" x14ac:dyDescent="0.25">
      <c r="A1794" s="5">
        <f>1786</f>
      </c>
      <c r="B1794" s="5" t="s">
        <v>1877</v>
      </c>
      <c r="C1794" s="5" t="s">
        <v>11</v>
      </c>
      <c r="D1794" s="5" t="s">
        <v>12</v>
      </c>
      <c r="E1794" s="5" t="s">
        <v>963</v>
      </c>
    </row>
    <row r="1795" spans="1:5" x14ac:dyDescent="0.25">
      <c r="A1795" s="5">
        <f>1787</f>
      </c>
      <c r="B1795" s="5" t="s">
        <v>1878</v>
      </c>
      <c r="C1795" s="5" t="s">
        <v>11</v>
      </c>
      <c r="D1795" s="5" t="s">
        <v>12</v>
      </c>
      <c r="E1795" s="5" t="s">
        <v>963</v>
      </c>
    </row>
    <row r="1796" spans="1:5" x14ac:dyDescent="0.25">
      <c r="A1796" s="5">
        <f>1788</f>
      </c>
      <c r="B1796" s="5" t="s">
        <v>1879</v>
      </c>
      <c r="C1796" s="5" t="s">
        <v>11</v>
      </c>
      <c r="D1796" s="5" t="s">
        <v>12</v>
      </c>
      <c r="E1796" s="5" t="s">
        <v>963</v>
      </c>
    </row>
    <row r="1797" spans="1:5" x14ac:dyDescent="0.25">
      <c r="A1797" s="5">
        <f>1789</f>
      </c>
      <c r="B1797" s="5" t="s">
        <v>1880</v>
      </c>
      <c r="C1797" s="5" t="s">
        <v>11</v>
      </c>
      <c r="D1797" s="5" t="s">
        <v>12</v>
      </c>
      <c r="E1797" s="5" t="s">
        <v>963</v>
      </c>
    </row>
    <row r="1798" spans="1:5" x14ac:dyDescent="0.25">
      <c r="A1798" s="5">
        <f>1790</f>
      </c>
      <c r="B1798" s="5" t="s">
        <v>1881</v>
      </c>
      <c r="C1798" s="5" t="s">
        <v>11</v>
      </c>
      <c r="D1798" s="5" t="s">
        <v>12</v>
      </c>
      <c r="E1798" s="5" t="s">
        <v>963</v>
      </c>
    </row>
    <row r="1799" spans="1:5" x14ac:dyDescent="0.25">
      <c r="A1799" s="5">
        <f>1791</f>
      </c>
      <c r="B1799" s="5" t="s">
        <v>1882</v>
      </c>
      <c r="C1799" s="5" t="s">
        <v>11</v>
      </c>
      <c r="D1799" s="5" t="s">
        <v>12</v>
      </c>
      <c r="E1799" s="5" t="s">
        <v>963</v>
      </c>
    </row>
    <row r="1800" spans="1:5" x14ac:dyDescent="0.25">
      <c r="A1800" s="5">
        <f>1792</f>
      </c>
      <c r="B1800" s="5" t="s">
        <v>1883</v>
      </c>
      <c r="C1800" s="5" t="s">
        <v>11</v>
      </c>
      <c r="D1800" s="5" t="s">
        <v>12</v>
      </c>
      <c r="E1800" s="5" t="s">
        <v>963</v>
      </c>
    </row>
    <row r="1801" spans="1:5" x14ac:dyDescent="0.25">
      <c r="A1801" s="5">
        <f>1793</f>
      </c>
      <c r="B1801" s="5" t="s">
        <v>1884</v>
      </c>
      <c r="C1801" s="5" t="s">
        <v>11</v>
      </c>
      <c r="D1801" s="5" t="s">
        <v>12</v>
      </c>
      <c r="E1801" s="5" t="s">
        <v>963</v>
      </c>
    </row>
    <row r="1802" spans="1:5" x14ac:dyDescent="0.25">
      <c r="A1802" s="5">
        <f>1794</f>
      </c>
      <c r="B1802" s="5" t="s">
        <v>1885</v>
      </c>
      <c r="C1802" s="5" t="s">
        <v>11</v>
      </c>
      <c r="D1802" s="5" t="s">
        <v>12</v>
      </c>
      <c r="E1802" s="5" t="s">
        <v>963</v>
      </c>
    </row>
    <row r="1803" spans="1:5" x14ac:dyDescent="0.25">
      <c r="A1803" s="5">
        <f>1795</f>
      </c>
      <c r="B1803" s="5" t="s">
        <v>1886</v>
      </c>
      <c r="C1803" s="5" t="s">
        <v>11</v>
      </c>
      <c r="D1803" s="5" t="s">
        <v>12</v>
      </c>
      <c r="E1803" s="5" t="s">
        <v>963</v>
      </c>
    </row>
    <row r="1804" spans="1:5" x14ac:dyDescent="0.25">
      <c r="A1804" s="5">
        <f>1796</f>
      </c>
      <c r="B1804" s="5" t="s">
        <v>1887</v>
      </c>
      <c r="C1804" s="5" t="s">
        <v>11</v>
      </c>
      <c r="D1804" s="5" t="s">
        <v>12</v>
      </c>
      <c r="E1804" s="5" t="s">
        <v>963</v>
      </c>
    </row>
    <row r="1805" spans="1:5" x14ac:dyDescent="0.25">
      <c r="A1805" s="5">
        <f>1797</f>
      </c>
      <c r="B1805" s="5" t="s">
        <v>1888</v>
      </c>
      <c r="C1805" s="5" t="s">
        <v>11</v>
      </c>
      <c r="D1805" s="5" t="s">
        <v>12</v>
      </c>
      <c r="E1805" s="5" t="s">
        <v>963</v>
      </c>
    </row>
    <row r="1806" spans="1:5" x14ac:dyDescent="0.25">
      <c r="A1806" s="5">
        <f>1798</f>
      </c>
      <c r="B1806" s="5" t="s">
        <v>1889</v>
      </c>
      <c r="C1806" s="5" t="s">
        <v>11</v>
      </c>
      <c r="D1806" s="5" t="s">
        <v>12</v>
      </c>
      <c r="E1806" s="5" t="s">
        <v>963</v>
      </c>
    </row>
    <row r="1807" spans="1:5" x14ac:dyDescent="0.25">
      <c r="A1807" s="5">
        <f>1799</f>
      </c>
      <c r="B1807" s="5" t="s">
        <v>1890</v>
      </c>
      <c r="C1807" s="5" t="s">
        <v>11</v>
      </c>
      <c r="D1807" s="5" t="s">
        <v>12</v>
      </c>
      <c r="E1807" s="5" t="s">
        <v>963</v>
      </c>
    </row>
    <row r="1808" spans="1:5" x14ac:dyDescent="0.25">
      <c r="A1808" s="5">
        <f>1800</f>
      </c>
      <c r="B1808" s="5" t="s">
        <v>1891</v>
      </c>
      <c r="C1808" s="5" t="s">
        <v>11</v>
      </c>
      <c r="D1808" s="5" t="s">
        <v>12</v>
      </c>
      <c r="E1808" s="5" t="s">
        <v>963</v>
      </c>
    </row>
    <row r="1809" spans="1:5" x14ac:dyDescent="0.25">
      <c r="A1809" s="5">
        <f>1801</f>
      </c>
      <c r="B1809" s="5" t="s">
        <v>1892</v>
      </c>
      <c r="C1809" s="5" t="s">
        <v>11</v>
      </c>
      <c r="D1809" s="5" t="s">
        <v>12</v>
      </c>
      <c r="E1809" s="5" t="s">
        <v>963</v>
      </c>
    </row>
    <row r="1810" spans="1:5" x14ac:dyDescent="0.25">
      <c r="A1810" s="5">
        <f>1802</f>
      </c>
      <c r="B1810" s="5" t="s">
        <v>1893</v>
      </c>
      <c r="C1810" s="5" t="s">
        <v>11</v>
      </c>
      <c r="D1810" s="5" t="s">
        <v>12</v>
      </c>
      <c r="E1810" s="5" t="s">
        <v>963</v>
      </c>
    </row>
    <row r="1811" spans="1:5" x14ac:dyDescent="0.25">
      <c r="A1811" s="5">
        <f>1803</f>
      </c>
      <c r="B1811" s="5" t="s">
        <v>1894</v>
      </c>
      <c r="C1811" s="5" t="s">
        <v>11</v>
      </c>
      <c r="D1811" s="5" t="s">
        <v>12</v>
      </c>
      <c r="E1811" s="5" t="s">
        <v>963</v>
      </c>
    </row>
    <row r="1812" spans="1:5" x14ac:dyDescent="0.25">
      <c r="A1812" s="5">
        <f>1804</f>
      </c>
      <c r="B1812" s="5" t="s">
        <v>1895</v>
      </c>
      <c r="C1812" s="5" t="s">
        <v>11</v>
      </c>
      <c r="D1812" s="5" t="s">
        <v>12</v>
      </c>
      <c r="E1812" s="5" t="s">
        <v>963</v>
      </c>
    </row>
    <row r="1813" spans="1:5" x14ac:dyDescent="0.25">
      <c r="A1813" s="5">
        <f>1805</f>
      </c>
      <c r="B1813" s="5" t="s">
        <v>1896</v>
      </c>
      <c r="C1813" s="5" t="s">
        <v>11</v>
      </c>
      <c r="D1813" s="5" t="s">
        <v>12</v>
      </c>
      <c r="E1813" s="5" t="s">
        <v>963</v>
      </c>
    </row>
    <row r="1814" spans="1:5" x14ac:dyDescent="0.25">
      <c r="A1814" s="5">
        <f>1806</f>
      </c>
      <c r="B1814" s="5" t="s">
        <v>1897</v>
      </c>
      <c r="C1814" s="5" t="s">
        <v>11</v>
      </c>
      <c r="D1814" s="5" t="s">
        <v>12</v>
      </c>
      <c r="E1814" s="5" t="s">
        <v>963</v>
      </c>
    </row>
    <row r="1815" spans="1:5" x14ac:dyDescent="0.25">
      <c r="A1815" s="5">
        <f>1807</f>
      </c>
      <c r="B1815" s="5" t="s">
        <v>1898</v>
      </c>
      <c r="C1815" s="5" t="s">
        <v>11</v>
      </c>
      <c r="D1815" s="5" t="s">
        <v>12</v>
      </c>
      <c r="E1815" s="5" t="s">
        <v>963</v>
      </c>
    </row>
    <row r="1816" spans="1:5" x14ac:dyDescent="0.25">
      <c r="A1816" s="5">
        <f>1808</f>
      </c>
      <c r="B1816" s="5" t="s">
        <v>1899</v>
      </c>
      <c r="C1816" s="5" t="s">
        <v>11</v>
      </c>
      <c r="D1816" s="5" t="s">
        <v>12</v>
      </c>
      <c r="E1816" s="5" t="s">
        <v>963</v>
      </c>
    </row>
    <row r="1817" spans="1:5" x14ac:dyDescent="0.25">
      <c r="A1817" s="5">
        <f>1809</f>
      </c>
      <c r="B1817" s="5" t="s">
        <v>1900</v>
      </c>
      <c r="C1817" s="5" t="s">
        <v>11</v>
      </c>
      <c r="D1817" s="5" t="s">
        <v>12</v>
      </c>
      <c r="E1817" s="5" t="s">
        <v>963</v>
      </c>
    </row>
    <row r="1818" spans="1:5" x14ac:dyDescent="0.25">
      <c r="A1818" s="5">
        <f>1810</f>
      </c>
      <c r="B1818" s="5" t="s">
        <v>1901</v>
      </c>
      <c r="C1818" s="5" t="s">
        <v>11</v>
      </c>
      <c r="D1818" s="5" t="s">
        <v>12</v>
      </c>
      <c r="E1818" s="5" t="s">
        <v>963</v>
      </c>
    </row>
    <row r="1819" spans="1:5" x14ac:dyDescent="0.25">
      <c r="A1819" s="5">
        <f>1811</f>
      </c>
      <c r="B1819" s="5" t="s">
        <v>1902</v>
      </c>
      <c r="C1819" s="5" t="s">
        <v>11</v>
      </c>
      <c r="D1819" s="5" t="s">
        <v>12</v>
      </c>
      <c r="E1819" s="5" t="s">
        <v>963</v>
      </c>
    </row>
    <row r="1820" spans="1:5" x14ac:dyDescent="0.25">
      <c r="A1820" s="5">
        <f>1812</f>
      </c>
      <c r="B1820" s="5" t="s">
        <v>1903</v>
      </c>
      <c r="C1820" s="5" t="s">
        <v>11</v>
      </c>
      <c r="D1820" s="5" t="s">
        <v>12</v>
      </c>
      <c r="E1820" s="5" t="s">
        <v>963</v>
      </c>
    </row>
    <row r="1821" spans="1:5" x14ac:dyDescent="0.25">
      <c r="A1821" s="5">
        <f>1813</f>
      </c>
      <c r="B1821" s="5" t="s">
        <v>1904</v>
      </c>
      <c r="C1821" s="5" t="s">
        <v>11</v>
      </c>
      <c r="D1821" s="5" t="s">
        <v>12</v>
      </c>
      <c r="E1821" s="5" t="s">
        <v>963</v>
      </c>
    </row>
    <row r="1822" spans="1:5" x14ac:dyDescent="0.25">
      <c r="A1822" s="5">
        <f>1814</f>
      </c>
      <c r="B1822" s="5" t="s">
        <v>1905</v>
      </c>
      <c r="C1822" s="5" t="s">
        <v>11</v>
      </c>
      <c r="D1822" s="5" t="s">
        <v>12</v>
      </c>
      <c r="E1822" s="5" t="s">
        <v>963</v>
      </c>
    </row>
    <row r="1823" spans="1:5" x14ac:dyDescent="0.25">
      <c r="A1823" s="5">
        <f>1815</f>
      </c>
      <c r="B1823" s="5" t="s">
        <v>1906</v>
      </c>
      <c r="C1823" s="5" t="s">
        <v>11</v>
      </c>
      <c r="D1823" s="5" t="s">
        <v>12</v>
      </c>
      <c r="E1823" s="5" t="s">
        <v>963</v>
      </c>
    </row>
    <row r="1824" spans="1:5" x14ac:dyDescent="0.25">
      <c r="A1824" s="5">
        <f>1816</f>
      </c>
      <c r="B1824" s="5" t="s">
        <v>1907</v>
      </c>
      <c r="C1824" s="5" t="s">
        <v>11</v>
      </c>
      <c r="D1824" s="5" t="s">
        <v>12</v>
      </c>
      <c r="E1824" s="5" t="s">
        <v>963</v>
      </c>
    </row>
    <row r="1825" spans="1:5" x14ac:dyDescent="0.25">
      <c r="A1825" s="5">
        <f>1817</f>
      </c>
      <c r="B1825" s="5" t="s">
        <v>1908</v>
      </c>
      <c r="C1825" s="5" t="s">
        <v>11</v>
      </c>
      <c r="D1825" s="5" t="s">
        <v>12</v>
      </c>
      <c r="E1825" s="5" t="s">
        <v>963</v>
      </c>
    </row>
    <row r="1826" spans="1:5" x14ac:dyDescent="0.25">
      <c r="A1826" s="5">
        <f>1818</f>
      </c>
      <c r="B1826" s="5" t="s">
        <v>1909</v>
      </c>
      <c r="C1826" s="5" t="s">
        <v>11</v>
      </c>
      <c r="D1826" s="5" t="s">
        <v>12</v>
      </c>
      <c r="E1826" s="5" t="s">
        <v>963</v>
      </c>
    </row>
    <row r="1827" spans="1:5" x14ac:dyDescent="0.25">
      <c r="A1827" s="5">
        <f>1819</f>
      </c>
      <c r="B1827" s="5" t="s">
        <v>1910</v>
      </c>
      <c r="C1827" s="5" t="s">
        <v>11</v>
      </c>
      <c r="D1827" s="5" t="s">
        <v>12</v>
      </c>
      <c r="E1827" s="5" t="s">
        <v>963</v>
      </c>
    </row>
    <row r="1828" spans="1:5" x14ac:dyDescent="0.25">
      <c r="A1828" s="5">
        <f>1820</f>
      </c>
      <c r="B1828" s="5" t="s">
        <v>1911</v>
      </c>
      <c r="C1828" s="5" t="s">
        <v>11</v>
      </c>
      <c r="D1828" s="5" t="s">
        <v>12</v>
      </c>
      <c r="E1828" s="5" t="s">
        <v>963</v>
      </c>
    </row>
    <row r="1829" spans="1:5" x14ac:dyDescent="0.25">
      <c r="A1829" s="5">
        <f>1821</f>
      </c>
      <c r="B1829" s="5" t="s">
        <v>1912</v>
      </c>
      <c r="C1829" s="5" t="s">
        <v>11</v>
      </c>
      <c r="D1829" s="5" t="s">
        <v>12</v>
      </c>
      <c r="E1829" s="5" t="s">
        <v>963</v>
      </c>
    </row>
    <row r="1830" spans="1:5" x14ac:dyDescent="0.25">
      <c r="A1830" s="5">
        <f>1822</f>
      </c>
      <c r="B1830" s="5" t="s">
        <v>1913</v>
      </c>
      <c r="C1830" s="5" t="s">
        <v>11</v>
      </c>
      <c r="D1830" s="5" t="s">
        <v>12</v>
      </c>
      <c r="E1830" s="5" t="s">
        <v>963</v>
      </c>
    </row>
    <row r="1831" spans="1:5" x14ac:dyDescent="0.25">
      <c r="A1831" s="5">
        <f>1823</f>
      </c>
      <c r="B1831" s="5" t="s">
        <v>1914</v>
      </c>
      <c r="C1831" s="5" t="s">
        <v>11</v>
      </c>
      <c r="D1831" s="5" t="s">
        <v>12</v>
      </c>
      <c r="E1831" s="5" t="s">
        <v>963</v>
      </c>
    </row>
    <row r="1832" spans="1:5" x14ac:dyDescent="0.25">
      <c r="A1832" s="5">
        <f>1824</f>
      </c>
      <c r="B1832" s="5" t="s">
        <v>1915</v>
      </c>
      <c r="C1832" s="5" t="s">
        <v>11</v>
      </c>
      <c r="D1832" s="5" t="s">
        <v>12</v>
      </c>
      <c r="E1832" s="5" t="s">
        <v>963</v>
      </c>
    </row>
    <row r="1833" spans="1:5" x14ac:dyDescent="0.25">
      <c r="A1833" s="5">
        <f>1825</f>
      </c>
      <c r="B1833" s="5" t="s">
        <v>1916</v>
      </c>
      <c r="C1833" s="5" t="s">
        <v>11</v>
      </c>
      <c r="D1833" s="5" t="s">
        <v>12</v>
      </c>
      <c r="E1833" s="5" t="s">
        <v>963</v>
      </c>
    </row>
    <row r="1834" spans="1:5" x14ac:dyDescent="0.25">
      <c r="A1834" s="5">
        <f>1826</f>
      </c>
      <c r="B1834" s="5" t="s">
        <v>1917</v>
      </c>
      <c r="C1834" s="5" t="s">
        <v>11</v>
      </c>
      <c r="D1834" s="5" t="s">
        <v>12</v>
      </c>
      <c r="E1834" s="5" t="s">
        <v>963</v>
      </c>
    </row>
    <row r="1835" spans="1:5" x14ac:dyDescent="0.25">
      <c r="A1835" s="5">
        <f>1827</f>
      </c>
      <c r="B1835" s="5" t="s">
        <v>1918</v>
      </c>
      <c r="C1835" s="5" t="s">
        <v>11</v>
      </c>
      <c r="D1835" s="5" t="s">
        <v>12</v>
      </c>
      <c r="E1835" s="5" t="s">
        <v>963</v>
      </c>
    </row>
    <row r="1836" spans="1:5" x14ac:dyDescent="0.25">
      <c r="A1836" s="5">
        <f>1828</f>
      </c>
      <c r="B1836" s="5" t="s">
        <v>1919</v>
      </c>
      <c r="C1836" s="5" t="s">
        <v>11</v>
      </c>
      <c r="D1836" s="5" t="s">
        <v>12</v>
      </c>
      <c r="E1836" s="5" t="s">
        <v>963</v>
      </c>
    </row>
    <row r="1837" spans="1:5" x14ac:dyDescent="0.25">
      <c r="A1837" s="5">
        <f>1829</f>
      </c>
      <c r="B1837" s="5" t="s">
        <v>1920</v>
      </c>
      <c r="C1837" s="5" t="s">
        <v>11</v>
      </c>
      <c r="D1837" s="5" t="s">
        <v>12</v>
      </c>
      <c r="E1837" s="5" t="s">
        <v>963</v>
      </c>
    </row>
    <row r="1838" spans="1:5" x14ac:dyDescent="0.25">
      <c r="A1838" s="5">
        <f>1830</f>
      </c>
      <c r="B1838" s="5" t="s">
        <v>1921</v>
      </c>
      <c r="C1838" s="5" t="s">
        <v>11</v>
      </c>
      <c r="D1838" s="5" t="s">
        <v>12</v>
      </c>
      <c r="E1838" s="5" t="s">
        <v>963</v>
      </c>
    </row>
    <row r="1839" spans="1:5" x14ac:dyDescent="0.25">
      <c r="A1839" s="5">
        <f>1831</f>
      </c>
      <c r="B1839" s="5" t="s">
        <v>1922</v>
      </c>
      <c r="C1839" s="5" t="s">
        <v>11</v>
      </c>
      <c r="D1839" s="5" t="s">
        <v>12</v>
      </c>
      <c r="E1839" s="5" t="s">
        <v>963</v>
      </c>
    </row>
    <row r="1840" spans="1:5" x14ac:dyDescent="0.25">
      <c r="A1840" s="5">
        <f>1832</f>
      </c>
      <c r="B1840" s="5" t="s">
        <v>1923</v>
      </c>
      <c r="C1840" s="5" t="s">
        <v>11</v>
      </c>
      <c r="D1840" s="5" t="s">
        <v>12</v>
      </c>
      <c r="E1840" s="5" t="s">
        <v>963</v>
      </c>
    </row>
    <row r="1841" spans="1:5" x14ac:dyDescent="0.25">
      <c r="A1841" s="5">
        <f>1833</f>
      </c>
      <c r="B1841" s="5" t="s">
        <v>1924</v>
      </c>
      <c r="C1841" s="5" t="s">
        <v>11</v>
      </c>
      <c r="D1841" s="5" t="s">
        <v>12</v>
      </c>
      <c r="E1841" s="5" t="s">
        <v>963</v>
      </c>
    </row>
    <row r="1842" spans="1:5" x14ac:dyDescent="0.25">
      <c r="A1842" s="5">
        <f>1834</f>
      </c>
      <c r="B1842" s="5" t="s">
        <v>1925</v>
      </c>
      <c r="C1842" s="5" t="s">
        <v>11</v>
      </c>
      <c r="D1842" s="5" t="s">
        <v>12</v>
      </c>
      <c r="E1842" s="5" t="s">
        <v>963</v>
      </c>
    </row>
    <row r="1843" spans="1:5" x14ac:dyDescent="0.25">
      <c r="A1843" s="5">
        <f>1835</f>
      </c>
      <c r="B1843" s="5" t="s">
        <v>1926</v>
      </c>
      <c r="C1843" s="5" t="s">
        <v>11</v>
      </c>
      <c r="D1843" s="5" t="s">
        <v>12</v>
      </c>
      <c r="E1843" s="5" t="s">
        <v>963</v>
      </c>
    </row>
    <row r="1844" spans="1:5" x14ac:dyDescent="0.25">
      <c r="A1844" s="5">
        <f>1836</f>
      </c>
      <c r="B1844" s="5" t="s">
        <v>1927</v>
      </c>
      <c r="C1844" s="5" t="s">
        <v>11</v>
      </c>
      <c r="D1844" s="5" t="s">
        <v>12</v>
      </c>
      <c r="E1844" s="5" t="s">
        <v>963</v>
      </c>
    </row>
    <row r="1845" spans="1:5" x14ac:dyDescent="0.25">
      <c r="A1845" s="5">
        <f>1837</f>
      </c>
      <c r="B1845" s="5" t="s">
        <v>1928</v>
      </c>
      <c r="C1845" s="5" t="s">
        <v>11</v>
      </c>
      <c r="D1845" s="5" t="s">
        <v>12</v>
      </c>
      <c r="E1845" s="5" t="s">
        <v>963</v>
      </c>
    </row>
    <row r="1846" spans="1:5" x14ac:dyDescent="0.25">
      <c r="A1846" s="5">
        <f>1838</f>
      </c>
      <c r="B1846" s="5" t="s">
        <v>1929</v>
      </c>
      <c r="C1846" s="5" t="s">
        <v>11</v>
      </c>
      <c r="D1846" s="5" t="s">
        <v>12</v>
      </c>
      <c r="E1846" s="5" t="s">
        <v>963</v>
      </c>
    </row>
    <row r="1847" spans="1:5" x14ac:dyDescent="0.25">
      <c r="A1847" s="5">
        <f>1839</f>
      </c>
      <c r="B1847" s="5" t="s">
        <v>1930</v>
      </c>
      <c r="C1847" s="5" t="s">
        <v>11</v>
      </c>
      <c r="D1847" s="5" t="s">
        <v>12</v>
      </c>
      <c r="E1847" s="5" t="s">
        <v>963</v>
      </c>
    </row>
    <row r="1848" spans="1:5" x14ac:dyDescent="0.25">
      <c r="A1848" s="5">
        <f>1840</f>
      </c>
      <c r="B1848" s="5" t="s">
        <v>1931</v>
      </c>
      <c r="C1848" s="5" t="s">
        <v>11</v>
      </c>
      <c r="D1848" s="5" t="s">
        <v>12</v>
      </c>
      <c r="E1848" s="5" t="s">
        <v>963</v>
      </c>
    </row>
    <row r="1849" spans="1:5" x14ac:dyDescent="0.25">
      <c r="A1849" s="5">
        <f>1841</f>
      </c>
      <c r="B1849" s="5" t="s">
        <v>1932</v>
      </c>
      <c r="C1849" s="5" t="s">
        <v>11</v>
      </c>
      <c r="D1849" s="5" t="s">
        <v>12</v>
      </c>
      <c r="E1849" s="5" t="s">
        <v>963</v>
      </c>
    </row>
    <row r="1850" spans="1:5" x14ac:dyDescent="0.25">
      <c r="A1850" s="5">
        <f>1842</f>
      </c>
      <c r="B1850" s="5" t="s">
        <v>1933</v>
      </c>
      <c r="C1850" s="5" t="s">
        <v>11</v>
      </c>
      <c r="D1850" s="5" t="s">
        <v>12</v>
      </c>
      <c r="E1850" s="5" t="s">
        <v>963</v>
      </c>
    </row>
    <row r="1851" spans="1:5" x14ac:dyDescent="0.25">
      <c r="A1851" s="5">
        <f>1843</f>
      </c>
      <c r="B1851" s="5" t="s">
        <v>1934</v>
      </c>
      <c r="C1851" s="5" t="s">
        <v>11</v>
      </c>
      <c r="D1851" s="5" t="s">
        <v>12</v>
      </c>
      <c r="E1851" s="5" t="s">
        <v>963</v>
      </c>
    </row>
    <row r="1852" spans="1:5" x14ac:dyDescent="0.25">
      <c r="A1852" s="5">
        <f>1844</f>
      </c>
      <c r="B1852" s="5" t="s">
        <v>1935</v>
      </c>
      <c r="C1852" s="5" t="s">
        <v>11</v>
      </c>
      <c r="D1852" s="5" t="s">
        <v>12</v>
      </c>
      <c r="E1852" s="5" t="s">
        <v>963</v>
      </c>
    </row>
    <row r="1853" spans="1:5" x14ac:dyDescent="0.25">
      <c r="A1853" s="5">
        <f>1845</f>
      </c>
      <c r="B1853" s="5" t="s">
        <v>1936</v>
      </c>
      <c r="C1853" s="5" t="s">
        <v>11</v>
      </c>
      <c r="D1853" s="5" t="s">
        <v>12</v>
      </c>
      <c r="E1853" s="5" t="s">
        <v>963</v>
      </c>
    </row>
    <row r="1854" spans="1:5" x14ac:dyDescent="0.25">
      <c r="A1854" s="5">
        <f>1846</f>
      </c>
      <c r="B1854" s="5" t="s">
        <v>1937</v>
      </c>
      <c r="C1854" s="5" t="s">
        <v>11</v>
      </c>
      <c r="D1854" s="5" t="s">
        <v>12</v>
      </c>
      <c r="E1854" s="5" t="s">
        <v>963</v>
      </c>
    </row>
    <row r="1855" spans="1:5" x14ac:dyDescent="0.25">
      <c r="A1855" s="5">
        <f>1847</f>
      </c>
      <c r="B1855" s="5" t="s">
        <v>1938</v>
      </c>
      <c r="C1855" s="5" t="s">
        <v>11</v>
      </c>
      <c r="D1855" s="5" t="s">
        <v>12</v>
      </c>
      <c r="E1855" s="5" t="s">
        <v>963</v>
      </c>
    </row>
    <row r="1856" spans="1:5" x14ac:dyDescent="0.25">
      <c r="A1856" s="5">
        <f>1848</f>
      </c>
      <c r="B1856" s="5" t="s">
        <v>1939</v>
      </c>
      <c r="C1856" s="5" t="s">
        <v>11</v>
      </c>
      <c r="D1856" s="5" t="s">
        <v>12</v>
      </c>
      <c r="E1856" s="5" t="s">
        <v>963</v>
      </c>
    </row>
    <row r="1857" spans="1:5" x14ac:dyDescent="0.25">
      <c r="A1857" s="5">
        <f>1849</f>
      </c>
      <c r="B1857" s="5" t="s">
        <v>1940</v>
      </c>
      <c r="C1857" s="5" t="s">
        <v>11</v>
      </c>
      <c r="D1857" s="5" t="s">
        <v>12</v>
      </c>
      <c r="E1857" s="5" t="s">
        <v>963</v>
      </c>
    </row>
    <row r="1858" spans="1:5" x14ac:dyDescent="0.25">
      <c r="A1858" s="5">
        <f>1850</f>
      </c>
      <c r="B1858" s="5" t="s">
        <v>1941</v>
      </c>
      <c r="C1858" s="5" t="s">
        <v>11</v>
      </c>
      <c r="D1858" s="5" t="s">
        <v>12</v>
      </c>
      <c r="E1858" s="5" t="s">
        <v>963</v>
      </c>
    </row>
    <row r="1859" spans="1:5" x14ac:dyDescent="0.25">
      <c r="A1859" s="5">
        <f>1851</f>
      </c>
      <c r="B1859" s="5" t="s">
        <v>1942</v>
      </c>
      <c r="C1859" s="5" t="s">
        <v>11</v>
      </c>
      <c r="D1859" s="5" t="s">
        <v>12</v>
      </c>
      <c r="E1859" s="5" t="s">
        <v>963</v>
      </c>
    </row>
    <row r="1860" spans="1:5" x14ac:dyDescent="0.25">
      <c r="A1860" s="5">
        <f>1852</f>
      </c>
      <c r="B1860" s="5" t="s">
        <v>1943</v>
      </c>
      <c r="C1860" s="5" t="s">
        <v>11</v>
      </c>
      <c r="D1860" s="5" t="s">
        <v>12</v>
      </c>
      <c r="E1860" s="5" t="s">
        <v>963</v>
      </c>
    </row>
    <row r="1861" spans="1:5" x14ac:dyDescent="0.25">
      <c r="A1861" s="5">
        <f>1853</f>
      </c>
      <c r="B1861" s="5" t="s">
        <v>1944</v>
      </c>
      <c r="C1861" s="5" t="s">
        <v>11</v>
      </c>
      <c r="D1861" s="5" t="s">
        <v>12</v>
      </c>
      <c r="E1861" s="5" t="s">
        <v>963</v>
      </c>
    </row>
    <row r="1862" spans="1:5" x14ac:dyDescent="0.25">
      <c r="A1862" s="5">
        <f>1854</f>
      </c>
      <c r="B1862" s="5" t="s">
        <v>1945</v>
      </c>
      <c r="C1862" s="5" t="s">
        <v>11</v>
      </c>
      <c r="D1862" s="5" t="s">
        <v>12</v>
      </c>
      <c r="E1862" s="5" t="s">
        <v>963</v>
      </c>
    </row>
    <row r="1863" spans="1:5" x14ac:dyDescent="0.25">
      <c r="A1863" s="5">
        <f>1855</f>
      </c>
      <c r="B1863" s="5" t="s">
        <v>1946</v>
      </c>
      <c r="C1863" s="5" t="s">
        <v>11</v>
      </c>
      <c r="D1863" s="5" t="s">
        <v>12</v>
      </c>
      <c r="E1863" s="5" t="s">
        <v>963</v>
      </c>
    </row>
    <row r="1864" spans="1:5" x14ac:dyDescent="0.25">
      <c r="A1864" s="5">
        <f>1856</f>
      </c>
      <c r="B1864" s="5" t="s">
        <v>1947</v>
      </c>
      <c r="C1864" s="5" t="s">
        <v>11</v>
      </c>
      <c r="D1864" s="5" t="s">
        <v>12</v>
      </c>
      <c r="E1864" s="5" t="s">
        <v>963</v>
      </c>
    </row>
    <row r="1865" spans="1:5" x14ac:dyDescent="0.25">
      <c r="A1865" s="5">
        <f>1857</f>
      </c>
      <c r="B1865" s="5" t="s">
        <v>1948</v>
      </c>
      <c r="C1865" s="5" t="s">
        <v>11</v>
      </c>
      <c r="D1865" s="5" t="s">
        <v>12</v>
      </c>
      <c r="E1865" s="5" t="s">
        <v>963</v>
      </c>
    </row>
    <row r="1866" spans="1:5" x14ac:dyDescent="0.25">
      <c r="A1866" s="5">
        <f>1858</f>
      </c>
      <c r="B1866" s="5" t="s">
        <v>1949</v>
      </c>
      <c r="C1866" s="5" t="s">
        <v>11</v>
      </c>
      <c r="D1866" s="5" t="s">
        <v>12</v>
      </c>
      <c r="E1866" s="5" t="s">
        <v>963</v>
      </c>
    </row>
    <row r="1867" spans="1:5" x14ac:dyDescent="0.25">
      <c r="A1867" s="5">
        <f>1859</f>
      </c>
      <c r="B1867" s="5" t="s">
        <v>1950</v>
      </c>
      <c r="C1867" s="5" t="s">
        <v>11</v>
      </c>
      <c r="D1867" s="5" t="s">
        <v>12</v>
      </c>
      <c r="E1867" s="5" t="s">
        <v>963</v>
      </c>
    </row>
    <row r="1868" spans="1:5" x14ac:dyDescent="0.25">
      <c r="A1868" s="5">
        <f>1860</f>
      </c>
      <c r="B1868" s="5" t="s">
        <v>1951</v>
      </c>
      <c r="C1868" s="5" t="s">
        <v>11</v>
      </c>
      <c r="D1868" s="5" t="s">
        <v>12</v>
      </c>
      <c r="E1868" s="5" t="s">
        <v>963</v>
      </c>
    </row>
    <row r="1869" spans="1:5" x14ac:dyDescent="0.25">
      <c r="A1869" s="5">
        <f>1861</f>
      </c>
      <c r="B1869" s="5" t="s">
        <v>1952</v>
      </c>
      <c r="C1869" s="5" t="s">
        <v>11</v>
      </c>
      <c r="D1869" s="5" t="s">
        <v>12</v>
      </c>
      <c r="E1869" s="5" t="s">
        <v>963</v>
      </c>
    </row>
    <row r="1870" spans="1:5" x14ac:dyDescent="0.25">
      <c r="A1870" s="5">
        <f>1862</f>
      </c>
      <c r="B1870" s="5" t="s">
        <v>1953</v>
      </c>
      <c r="C1870" s="5" t="s">
        <v>11</v>
      </c>
      <c r="D1870" s="5" t="s">
        <v>12</v>
      </c>
      <c r="E1870" s="5" t="s">
        <v>963</v>
      </c>
    </row>
    <row r="1871" spans="1:5" x14ac:dyDescent="0.25">
      <c r="A1871" s="5">
        <f>1863</f>
      </c>
      <c r="B1871" s="5" t="s">
        <v>1954</v>
      </c>
      <c r="C1871" s="5" t="s">
        <v>11</v>
      </c>
      <c r="D1871" s="5" t="s">
        <v>12</v>
      </c>
      <c r="E1871" s="5" t="s">
        <v>963</v>
      </c>
    </row>
    <row r="1872" spans="1:5" x14ac:dyDescent="0.25">
      <c r="A1872" s="5">
        <f>1864</f>
      </c>
      <c r="B1872" s="5" t="s">
        <v>1955</v>
      </c>
      <c r="C1872" s="5" t="s">
        <v>11</v>
      </c>
      <c r="D1872" s="5" t="s">
        <v>12</v>
      </c>
      <c r="E1872" s="5" t="s">
        <v>963</v>
      </c>
    </row>
    <row r="1873" spans="1:5" x14ac:dyDescent="0.25">
      <c r="A1873" s="5">
        <f>1865</f>
      </c>
      <c r="B1873" s="5" t="s">
        <v>1956</v>
      </c>
      <c r="C1873" s="5" t="s">
        <v>11</v>
      </c>
      <c r="D1873" s="5" t="s">
        <v>12</v>
      </c>
      <c r="E1873" s="5" t="s">
        <v>963</v>
      </c>
    </row>
    <row r="1874" spans="1:5" x14ac:dyDescent="0.25">
      <c r="A1874" s="5">
        <f>1866</f>
      </c>
      <c r="B1874" s="5" t="s">
        <v>1957</v>
      </c>
      <c r="C1874" s="5" t="s">
        <v>11</v>
      </c>
      <c r="D1874" s="5" t="s">
        <v>12</v>
      </c>
      <c r="E1874" s="5" t="s">
        <v>963</v>
      </c>
    </row>
    <row r="1875" spans="1:5" x14ac:dyDescent="0.25">
      <c r="A1875" s="5">
        <f>1867</f>
      </c>
      <c r="B1875" s="5" t="s">
        <v>1958</v>
      </c>
      <c r="C1875" s="5" t="s">
        <v>11</v>
      </c>
      <c r="D1875" s="5" t="s">
        <v>12</v>
      </c>
      <c r="E1875" s="5" t="s">
        <v>963</v>
      </c>
    </row>
    <row r="1876" spans="1:5" x14ac:dyDescent="0.25">
      <c r="A1876" s="5">
        <f>1868</f>
      </c>
      <c r="B1876" s="5" t="s">
        <v>1959</v>
      </c>
      <c r="C1876" s="5" t="s">
        <v>11</v>
      </c>
      <c r="D1876" s="5" t="s">
        <v>12</v>
      </c>
      <c r="E1876" s="5" t="s">
        <v>963</v>
      </c>
    </row>
    <row r="1877" spans="1:5" x14ac:dyDescent="0.25">
      <c r="A1877" s="5">
        <f>1869</f>
      </c>
      <c r="B1877" s="5" t="s">
        <v>1960</v>
      </c>
      <c r="C1877" s="5" t="s">
        <v>11</v>
      </c>
      <c r="D1877" s="5" t="s">
        <v>12</v>
      </c>
      <c r="E1877" s="5" t="s">
        <v>963</v>
      </c>
    </row>
    <row r="1878" spans="1:5" x14ac:dyDescent="0.25">
      <c r="A1878" s="5">
        <f>1870</f>
      </c>
      <c r="B1878" s="5" t="s">
        <v>1961</v>
      </c>
      <c r="C1878" s="5" t="s">
        <v>11</v>
      </c>
      <c r="D1878" s="5" t="s">
        <v>12</v>
      </c>
      <c r="E1878" s="5" t="s">
        <v>963</v>
      </c>
    </row>
    <row r="1879" spans="1:5" x14ac:dyDescent="0.25">
      <c r="A1879" s="5">
        <f>1871</f>
      </c>
      <c r="B1879" s="5" t="s">
        <v>1962</v>
      </c>
      <c r="C1879" s="5" t="s">
        <v>11</v>
      </c>
      <c r="D1879" s="5" t="s">
        <v>12</v>
      </c>
      <c r="E1879" s="5" t="s">
        <v>963</v>
      </c>
    </row>
    <row r="1880" spans="1:5" x14ac:dyDescent="0.25">
      <c r="A1880" s="5">
        <f>1872</f>
      </c>
      <c r="B1880" s="5" t="s">
        <v>1963</v>
      </c>
      <c r="C1880" s="5" t="s">
        <v>11</v>
      </c>
      <c r="D1880" s="5" t="s">
        <v>12</v>
      </c>
      <c r="E1880" s="5" t="s">
        <v>963</v>
      </c>
    </row>
    <row r="1881" spans="1:5" x14ac:dyDescent="0.25">
      <c r="A1881" s="5">
        <f>1873</f>
      </c>
      <c r="B1881" s="5" t="s">
        <v>1964</v>
      </c>
      <c r="C1881" s="5" t="s">
        <v>11</v>
      </c>
      <c r="D1881" s="5" t="s">
        <v>12</v>
      </c>
      <c r="E1881" s="5" t="s">
        <v>963</v>
      </c>
    </row>
    <row r="1882" spans="1:5" x14ac:dyDescent="0.25">
      <c r="A1882" s="5">
        <f>1874</f>
      </c>
      <c r="B1882" s="5" t="s">
        <v>1965</v>
      </c>
      <c r="C1882" s="5" t="s">
        <v>11</v>
      </c>
      <c r="D1882" s="5" t="s">
        <v>12</v>
      </c>
      <c r="E1882" s="5" t="s">
        <v>963</v>
      </c>
    </row>
    <row r="1883" spans="1:5" x14ac:dyDescent="0.25">
      <c r="A1883" s="5">
        <f>1875</f>
      </c>
      <c r="B1883" s="5" t="s">
        <v>1966</v>
      </c>
      <c r="C1883" s="5" t="s">
        <v>11</v>
      </c>
      <c r="D1883" s="5" t="s">
        <v>12</v>
      </c>
      <c r="E1883" s="5" t="s">
        <v>963</v>
      </c>
    </row>
    <row r="1884" spans="1:5" x14ac:dyDescent="0.25">
      <c r="A1884" s="5">
        <f>1876</f>
      </c>
      <c r="B1884" s="5" t="s">
        <v>1967</v>
      </c>
      <c r="C1884" s="5" t="s">
        <v>11</v>
      </c>
      <c r="D1884" s="5" t="s">
        <v>12</v>
      </c>
      <c r="E1884" s="5" t="s">
        <v>963</v>
      </c>
    </row>
    <row r="1885" spans="1:5" x14ac:dyDescent="0.25">
      <c r="A1885" s="5">
        <f>1877</f>
      </c>
      <c r="B1885" s="5" t="s">
        <v>1968</v>
      </c>
      <c r="C1885" s="5" t="s">
        <v>11</v>
      </c>
      <c r="D1885" s="5" t="s">
        <v>12</v>
      </c>
      <c r="E1885" s="5" t="s">
        <v>963</v>
      </c>
    </row>
    <row r="1886" spans="1:5" x14ac:dyDescent="0.25">
      <c r="A1886" s="5">
        <f>1878</f>
      </c>
      <c r="B1886" s="5" t="s">
        <v>1969</v>
      </c>
      <c r="C1886" s="5" t="s">
        <v>11</v>
      </c>
      <c r="D1886" s="5" t="s">
        <v>12</v>
      </c>
      <c r="E1886" s="5" t="s">
        <v>963</v>
      </c>
    </row>
    <row r="1887" spans="1:5" x14ac:dyDescent="0.25">
      <c r="A1887" s="5">
        <f>1879</f>
      </c>
      <c r="B1887" s="5" t="s">
        <v>1970</v>
      </c>
      <c r="C1887" s="5" t="s">
        <v>11</v>
      </c>
      <c r="D1887" s="5" t="s">
        <v>12</v>
      </c>
      <c r="E1887" s="5" t="s">
        <v>963</v>
      </c>
    </row>
    <row r="1888" spans="1:5" x14ac:dyDescent="0.25">
      <c r="A1888" s="5">
        <f>1880</f>
      </c>
      <c r="B1888" s="5" t="s">
        <v>1971</v>
      </c>
      <c r="C1888" s="5" t="s">
        <v>11</v>
      </c>
      <c r="D1888" s="5" t="s">
        <v>12</v>
      </c>
      <c r="E1888" s="5" t="s">
        <v>963</v>
      </c>
    </row>
    <row r="1889" spans="1:5" x14ac:dyDescent="0.25">
      <c r="A1889" s="5">
        <f>1881</f>
      </c>
      <c r="B1889" s="5" t="s">
        <v>1972</v>
      </c>
      <c r="C1889" s="5" t="s">
        <v>11</v>
      </c>
      <c r="D1889" s="5" t="s">
        <v>12</v>
      </c>
      <c r="E1889" s="5" t="s">
        <v>963</v>
      </c>
    </row>
    <row r="1890" spans="1:5" x14ac:dyDescent="0.25">
      <c r="A1890" s="5">
        <f>1882</f>
      </c>
      <c r="B1890" s="5" t="s">
        <v>1973</v>
      </c>
      <c r="C1890" s="5" t="s">
        <v>11</v>
      </c>
      <c r="D1890" s="5" t="s">
        <v>12</v>
      </c>
      <c r="E1890" s="5" t="s">
        <v>963</v>
      </c>
    </row>
    <row r="1891" spans="1:5" x14ac:dyDescent="0.25">
      <c r="A1891" s="5">
        <f>1883</f>
      </c>
      <c r="B1891" s="5" t="s">
        <v>1974</v>
      </c>
      <c r="C1891" s="5" t="s">
        <v>11</v>
      </c>
      <c r="D1891" s="5" t="s">
        <v>12</v>
      </c>
      <c r="E1891" s="5" t="s">
        <v>963</v>
      </c>
    </row>
    <row r="1892" spans="1:5" x14ac:dyDescent="0.25">
      <c r="A1892" s="5">
        <f>1884</f>
      </c>
      <c r="B1892" s="5" t="s">
        <v>1975</v>
      </c>
      <c r="C1892" s="5" t="s">
        <v>11</v>
      </c>
      <c r="D1892" s="5" t="s">
        <v>12</v>
      </c>
      <c r="E1892" s="5" t="s">
        <v>963</v>
      </c>
    </row>
    <row r="1893" spans="1:5" x14ac:dyDescent="0.25">
      <c r="A1893" s="5">
        <f>1885</f>
      </c>
      <c r="B1893" s="5" t="s">
        <v>1976</v>
      </c>
      <c r="C1893" s="5" t="s">
        <v>11</v>
      </c>
      <c r="D1893" s="5" t="s">
        <v>12</v>
      </c>
      <c r="E1893" s="5" t="s">
        <v>963</v>
      </c>
    </row>
    <row r="1894" spans="1:5" x14ac:dyDescent="0.25">
      <c r="A1894" s="5">
        <f>1886</f>
      </c>
      <c r="B1894" s="5" t="s">
        <v>1977</v>
      </c>
      <c r="C1894" s="5" t="s">
        <v>11</v>
      </c>
      <c r="D1894" s="5" t="s">
        <v>12</v>
      </c>
      <c r="E1894" s="5" t="s">
        <v>963</v>
      </c>
    </row>
    <row r="1895" spans="1:5" x14ac:dyDescent="0.25">
      <c r="A1895" s="5">
        <f>1887</f>
      </c>
      <c r="B1895" s="5" t="s">
        <v>1978</v>
      </c>
      <c r="C1895" s="5" t="s">
        <v>11</v>
      </c>
      <c r="D1895" s="5" t="s">
        <v>12</v>
      </c>
      <c r="E1895" s="5" t="s">
        <v>963</v>
      </c>
    </row>
    <row r="1896" spans="1:5" x14ac:dyDescent="0.25">
      <c r="A1896" s="5">
        <f>1888</f>
      </c>
      <c r="B1896" s="5" t="s">
        <v>1979</v>
      </c>
      <c r="C1896" s="5" t="s">
        <v>11</v>
      </c>
      <c r="D1896" s="5" t="s">
        <v>12</v>
      </c>
      <c r="E1896" s="5" t="s">
        <v>963</v>
      </c>
    </row>
    <row r="1897" spans="1:5" x14ac:dyDescent="0.25">
      <c r="A1897" s="5">
        <f>1889</f>
      </c>
      <c r="B1897" s="5" t="s">
        <v>1980</v>
      </c>
      <c r="C1897" s="5" t="s">
        <v>11</v>
      </c>
      <c r="D1897" s="5" t="s">
        <v>12</v>
      </c>
      <c r="E1897" s="5" t="s">
        <v>963</v>
      </c>
    </row>
    <row r="1898" spans="1:5" x14ac:dyDescent="0.25">
      <c r="A1898" s="5">
        <f>1890</f>
      </c>
      <c r="B1898" s="5" t="s">
        <v>1981</v>
      </c>
      <c r="C1898" s="5" t="s">
        <v>11</v>
      </c>
      <c r="D1898" s="5" t="s">
        <v>12</v>
      </c>
      <c r="E1898" s="5" t="s">
        <v>963</v>
      </c>
    </row>
    <row r="1899" spans="1:5" x14ac:dyDescent="0.25">
      <c r="A1899" s="5">
        <f>1891</f>
      </c>
      <c r="B1899" s="5" t="s">
        <v>1982</v>
      </c>
      <c r="C1899" s="5" t="s">
        <v>11</v>
      </c>
      <c r="D1899" s="5" t="s">
        <v>12</v>
      </c>
      <c r="E1899" s="5" t="s">
        <v>963</v>
      </c>
    </row>
    <row r="1900" spans="1:5" x14ac:dyDescent="0.25">
      <c r="A1900" s="5">
        <f>1892</f>
      </c>
      <c r="B1900" s="5" t="s">
        <v>1983</v>
      </c>
      <c r="C1900" s="5" t="s">
        <v>11</v>
      </c>
      <c r="D1900" s="5" t="s">
        <v>12</v>
      </c>
      <c r="E1900" s="5" t="s">
        <v>963</v>
      </c>
    </row>
    <row r="1901" spans="1:5" x14ac:dyDescent="0.25">
      <c r="A1901" s="5">
        <f>1893</f>
      </c>
      <c r="B1901" s="5" t="s">
        <v>1984</v>
      </c>
      <c r="C1901" s="5" t="s">
        <v>11</v>
      </c>
      <c r="D1901" s="5" t="s">
        <v>12</v>
      </c>
      <c r="E1901" s="5" t="s">
        <v>963</v>
      </c>
    </row>
    <row r="1902" spans="1:5" x14ac:dyDescent="0.25">
      <c r="A1902" s="5">
        <f>1894</f>
      </c>
      <c r="B1902" s="5" t="s">
        <v>1985</v>
      </c>
      <c r="C1902" s="5" t="s">
        <v>11</v>
      </c>
      <c r="D1902" s="5" t="s">
        <v>12</v>
      </c>
      <c r="E1902" s="5" t="s">
        <v>963</v>
      </c>
    </row>
    <row r="1903" spans="1:5" x14ac:dyDescent="0.25">
      <c r="A1903" s="5">
        <f>1895</f>
      </c>
      <c r="B1903" s="5" t="s">
        <v>1986</v>
      </c>
      <c r="C1903" s="5" t="s">
        <v>11</v>
      </c>
      <c r="D1903" s="5" t="s">
        <v>12</v>
      </c>
      <c r="E1903" s="5" t="s">
        <v>963</v>
      </c>
    </row>
    <row r="1904" spans="1:5" x14ac:dyDescent="0.25">
      <c r="A1904" s="5">
        <f>1896</f>
      </c>
      <c r="B1904" s="5" t="s">
        <v>1987</v>
      </c>
      <c r="C1904" s="5" t="s">
        <v>11</v>
      </c>
      <c r="D1904" s="5" t="s">
        <v>12</v>
      </c>
      <c r="E1904" s="5" t="s">
        <v>963</v>
      </c>
    </row>
    <row r="1905" spans="1:5" x14ac:dyDescent="0.25">
      <c r="A1905" s="5">
        <f>1897</f>
      </c>
      <c r="B1905" s="5" t="s">
        <v>1988</v>
      </c>
      <c r="C1905" s="5" t="s">
        <v>11</v>
      </c>
      <c r="D1905" s="5" t="s">
        <v>12</v>
      </c>
      <c r="E1905" s="5" t="s">
        <v>963</v>
      </c>
    </row>
    <row r="1906" spans="1:5" x14ac:dyDescent="0.25">
      <c r="A1906" s="5">
        <f>1898</f>
      </c>
      <c r="B1906" s="5" t="s">
        <v>1989</v>
      </c>
      <c r="C1906" s="5" t="s">
        <v>11</v>
      </c>
      <c r="D1906" s="5" t="s">
        <v>12</v>
      </c>
      <c r="E1906" s="5" t="s">
        <v>963</v>
      </c>
    </row>
    <row r="1907" spans="1:5" x14ac:dyDescent="0.25">
      <c r="A1907" s="5">
        <f>1899</f>
      </c>
      <c r="B1907" s="5" t="s">
        <v>1990</v>
      </c>
      <c r="C1907" s="5" t="s">
        <v>11</v>
      </c>
      <c r="D1907" s="5" t="s">
        <v>12</v>
      </c>
      <c r="E1907" s="5" t="s">
        <v>963</v>
      </c>
    </row>
    <row r="1908" spans="1:5" x14ac:dyDescent="0.25">
      <c r="A1908" s="5">
        <f>1900</f>
      </c>
      <c r="B1908" s="5" t="s">
        <v>1991</v>
      </c>
      <c r="C1908" s="5" t="s">
        <v>11</v>
      </c>
      <c r="D1908" s="5" t="s">
        <v>12</v>
      </c>
      <c r="E1908" s="5" t="s">
        <v>963</v>
      </c>
    </row>
    <row r="1909" spans="1:5" x14ac:dyDescent="0.25">
      <c r="A1909" s="5">
        <f>1901</f>
      </c>
      <c r="B1909" s="5" t="s">
        <v>1992</v>
      </c>
      <c r="C1909" s="5" t="s">
        <v>11</v>
      </c>
      <c r="D1909" s="5" t="s">
        <v>12</v>
      </c>
      <c r="E1909" s="5" t="s">
        <v>963</v>
      </c>
    </row>
    <row r="1910" spans="1:5" x14ac:dyDescent="0.25">
      <c r="A1910" s="5">
        <f>1902</f>
      </c>
      <c r="B1910" s="5" t="s">
        <v>1993</v>
      </c>
      <c r="C1910" s="5" t="s">
        <v>11</v>
      </c>
      <c r="D1910" s="5" t="s">
        <v>12</v>
      </c>
      <c r="E1910" s="5" t="s">
        <v>963</v>
      </c>
    </row>
    <row r="1911" spans="1:5" x14ac:dyDescent="0.25">
      <c r="A1911" s="5">
        <f>1903</f>
      </c>
      <c r="B1911" s="5" t="s">
        <v>1994</v>
      </c>
      <c r="C1911" s="5" t="s">
        <v>11</v>
      </c>
      <c r="D1911" s="5" t="s">
        <v>12</v>
      </c>
      <c r="E1911" s="5" t="s">
        <v>963</v>
      </c>
    </row>
    <row r="1912" spans="1:5" x14ac:dyDescent="0.25">
      <c r="A1912" s="5">
        <f>1904</f>
      </c>
      <c r="B1912" s="5" t="s">
        <v>1995</v>
      </c>
      <c r="C1912" s="5" t="s">
        <v>11</v>
      </c>
      <c r="D1912" s="5" t="s">
        <v>12</v>
      </c>
      <c r="E1912" s="5" t="s">
        <v>963</v>
      </c>
    </row>
    <row r="1913" spans="1:5" x14ac:dyDescent="0.25">
      <c r="A1913" s="5">
        <f>1905</f>
      </c>
      <c r="B1913" s="5" t="s">
        <v>1996</v>
      </c>
      <c r="C1913" s="5" t="s">
        <v>11</v>
      </c>
      <c r="D1913" s="5" t="s">
        <v>12</v>
      </c>
      <c r="E1913" s="5" t="s">
        <v>963</v>
      </c>
    </row>
    <row r="1914" spans="1:5" x14ac:dyDescent="0.25">
      <c r="A1914" s="5">
        <f>1906</f>
      </c>
      <c r="B1914" s="5" t="s">
        <v>1997</v>
      </c>
      <c r="C1914" s="5" t="s">
        <v>11</v>
      </c>
      <c r="D1914" s="5" t="s">
        <v>12</v>
      </c>
      <c r="E1914" s="5" t="s">
        <v>963</v>
      </c>
    </row>
    <row r="1915" spans="1:5" x14ac:dyDescent="0.25">
      <c r="A1915" s="5">
        <f>1907</f>
      </c>
      <c r="B1915" s="5" t="s">
        <v>1998</v>
      </c>
      <c r="C1915" s="5" t="s">
        <v>11</v>
      </c>
      <c r="D1915" s="5" t="s">
        <v>12</v>
      </c>
      <c r="E1915" s="5" t="s">
        <v>963</v>
      </c>
    </row>
    <row r="1916" spans="1:5" x14ac:dyDescent="0.25">
      <c r="A1916" s="5">
        <f>1908</f>
      </c>
      <c r="B1916" s="5" t="s">
        <v>1999</v>
      </c>
      <c r="C1916" s="5" t="s">
        <v>11</v>
      </c>
      <c r="D1916" s="5" t="s">
        <v>12</v>
      </c>
      <c r="E1916" s="5" t="s">
        <v>963</v>
      </c>
    </row>
    <row r="1917" spans="1:5" x14ac:dyDescent="0.25">
      <c r="A1917" s="5">
        <f>1909</f>
      </c>
      <c r="B1917" s="5" t="s">
        <v>2000</v>
      </c>
      <c r="C1917" s="5" t="s">
        <v>11</v>
      </c>
      <c r="D1917" s="5" t="s">
        <v>12</v>
      </c>
      <c r="E1917" s="5" t="s">
        <v>963</v>
      </c>
    </row>
    <row r="1918" spans="1:5" x14ac:dyDescent="0.25">
      <c r="A1918" s="5">
        <f>1910</f>
      </c>
      <c r="B1918" s="5" t="s">
        <v>2001</v>
      </c>
      <c r="C1918" s="5" t="s">
        <v>11</v>
      </c>
      <c r="D1918" s="5" t="s">
        <v>12</v>
      </c>
      <c r="E1918" s="5" t="s">
        <v>963</v>
      </c>
    </row>
    <row r="1919" spans="1:5" x14ac:dyDescent="0.25">
      <c r="A1919" s="5">
        <f>1911</f>
      </c>
      <c r="B1919" s="5" t="s">
        <v>2002</v>
      </c>
      <c r="C1919" s="5" t="s">
        <v>11</v>
      </c>
      <c r="D1919" s="5" t="s">
        <v>12</v>
      </c>
      <c r="E1919" s="5" t="s">
        <v>963</v>
      </c>
    </row>
    <row r="1920" spans="1:5" x14ac:dyDescent="0.25">
      <c r="A1920" s="5">
        <f>1912</f>
      </c>
      <c r="B1920" s="5" t="s">
        <v>2003</v>
      </c>
      <c r="C1920" s="5" t="s">
        <v>11</v>
      </c>
      <c r="D1920" s="5" t="s">
        <v>12</v>
      </c>
      <c r="E1920" s="5" t="s">
        <v>963</v>
      </c>
    </row>
    <row r="1921" spans="1:5" x14ac:dyDescent="0.25">
      <c r="A1921" s="5">
        <f>1913</f>
      </c>
      <c r="B1921" s="5" t="s">
        <v>2004</v>
      </c>
      <c r="C1921" s="5" t="s">
        <v>11</v>
      </c>
      <c r="D1921" s="5" t="s">
        <v>12</v>
      </c>
      <c r="E1921" s="5" t="s">
        <v>963</v>
      </c>
    </row>
    <row r="1922" spans="1:5" x14ac:dyDescent="0.25">
      <c r="A1922" s="5">
        <f>1914</f>
      </c>
      <c r="B1922" s="5" t="s">
        <v>2005</v>
      </c>
      <c r="C1922" s="5" t="s">
        <v>11</v>
      </c>
      <c r="D1922" s="5" t="s">
        <v>12</v>
      </c>
      <c r="E1922" s="5" t="s">
        <v>963</v>
      </c>
    </row>
    <row r="1923" spans="1:5" x14ac:dyDescent="0.25">
      <c r="A1923" s="5">
        <f>1915</f>
      </c>
      <c r="B1923" s="5" t="s">
        <v>2006</v>
      </c>
      <c r="C1923" s="5" t="s">
        <v>11</v>
      </c>
      <c r="D1923" s="5" t="s">
        <v>12</v>
      </c>
      <c r="E1923" s="5" t="s">
        <v>963</v>
      </c>
    </row>
    <row r="1924" spans="1:5" x14ac:dyDescent="0.25">
      <c r="A1924" s="5">
        <f>1916</f>
      </c>
      <c r="B1924" s="5" t="s">
        <v>2007</v>
      </c>
      <c r="C1924" s="5" t="s">
        <v>11</v>
      </c>
      <c r="D1924" s="5" t="s">
        <v>12</v>
      </c>
      <c r="E1924" s="5" t="s">
        <v>963</v>
      </c>
    </row>
    <row r="1925" spans="1:5" x14ac:dyDescent="0.25">
      <c r="A1925" s="5">
        <f>1917</f>
      </c>
      <c r="B1925" s="5" t="s">
        <v>2008</v>
      </c>
      <c r="C1925" s="5" t="s">
        <v>11</v>
      </c>
      <c r="D1925" s="5" t="s">
        <v>12</v>
      </c>
      <c r="E1925" s="5" t="s">
        <v>963</v>
      </c>
    </row>
    <row r="1926" spans="1:5" x14ac:dyDescent="0.25">
      <c r="A1926" s="5">
        <f>1918</f>
      </c>
      <c r="B1926" s="5" t="s">
        <v>2009</v>
      </c>
      <c r="C1926" s="5" t="s">
        <v>11</v>
      </c>
      <c r="D1926" s="5" t="s">
        <v>12</v>
      </c>
      <c r="E1926" s="5" t="s">
        <v>963</v>
      </c>
    </row>
    <row r="1927" spans="1:5" x14ac:dyDescent="0.25">
      <c r="A1927" s="5">
        <f>1919</f>
      </c>
      <c r="B1927" s="5" t="s">
        <v>2010</v>
      </c>
      <c r="C1927" s="5" t="s">
        <v>11</v>
      </c>
      <c r="D1927" s="5" t="s">
        <v>12</v>
      </c>
      <c r="E1927" s="5" t="s">
        <v>963</v>
      </c>
    </row>
    <row r="1928" spans="1:5" x14ac:dyDescent="0.25">
      <c r="A1928" s="5">
        <f>1920</f>
      </c>
      <c r="B1928" s="5" t="s">
        <v>2011</v>
      </c>
      <c r="C1928" s="5" t="s">
        <v>11</v>
      </c>
      <c r="D1928" s="5" t="s">
        <v>12</v>
      </c>
      <c r="E1928" s="5" t="s">
        <v>963</v>
      </c>
    </row>
    <row r="1929" spans="1:5" x14ac:dyDescent="0.25">
      <c r="A1929" s="5">
        <f>1921</f>
      </c>
      <c r="B1929" s="5" t="s">
        <v>2012</v>
      </c>
      <c r="C1929" s="5" t="s">
        <v>11</v>
      </c>
      <c r="D1929" s="5" t="s">
        <v>12</v>
      </c>
      <c r="E1929" s="5" t="s">
        <v>963</v>
      </c>
    </row>
    <row r="1930" spans="1:5" x14ac:dyDescent="0.25">
      <c r="A1930" s="5">
        <f>1922</f>
      </c>
      <c r="B1930" s="5" t="s">
        <v>2013</v>
      </c>
      <c r="C1930" s="5" t="s">
        <v>11</v>
      </c>
      <c r="D1930" s="5" t="s">
        <v>12</v>
      </c>
      <c r="E1930" s="5" t="s">
        <v>963</v>
      </c>
    </row>
    <row r="1931" spans="1:5" x14ac:dyDescent="0.25">
      <c r="A1931" s="5">
        <f>1923</f>
      </c>
      <c r="B1931" s="5" t="s">
        <v>2014</v>
      </c>
      <c r="C1931" s="5" t="s">
        <v>11</v>
      </c>
      <c r="D1931" s="5" t="s">
        <v>12</v>
      </c>
      <c r="E1931" s="5" t="s">
        <v>963</v>
      </c>
    </row>
    <row r="1932" spans="1:5" x14ac:dyDescent="0.25">
      <c r="A1932" s="5">
        <f>1924</f>
      </c>
      <c r="B1932" s="5" t="s">
        <v>2015</v>
      </c>
      <c r="C1932" s="5" t="s">
        <v>11</v>
      </c>
      <c r="D1932" s="5" t="s">
        <v>12</v>
      </c>
      <c r="E1932" s="5" t="s">
        <v>963</v>
      </c>
    </row>
    <row r="1933" spans="1:5" x14ac:dyDescent="0.25">
      <c r="A1933" s="5">
        <f>1925</f>
      </c>
      <c r="B1933" s="5" t="s">
        <v>2016</v>
      </c>
      <c r="C1933" s="5" t="s">
        <v>11</v>
      </c>
      <c r="D1933" s="5" t="s">
        <v>12</v>
      </c>
      <c r="E1933" s="5" t="s">
        <v>963</v>
      </c>
    </row>
    <row r="1934" spans="1:5" x14ac:dyDescent="0.25">
      <c r="A1934" s="5">
        <f>1926</f>
      </c>
      <c r="B1934" s="5" t="s">
        <v>2017</v>
      </c>
      <c r="C1934" s="5" t="s">
        <v>11</v>
      </c>
      <c r="D1934" s="5" t="s">
        <v>12</v>
      </c>
      <c r="E1934" s="5" t="s">
        <v>963</v>
      </c>
    </row>
    <row r="1935" spans="1:5" x14ac:dyDescent="0.25">
      <c r="A1935" s="5">
        <f>1927</f>
      </c>
      <c r="B1935" s="5" t="s">
        <v>2018</v>
      </c>
      <c r="C1935" s="5" t="s">
        <v>11</v>
      </c>
      <c r="D1935" s="5" t="s">
        <v>12</v>
      </c>
      <c r="E1935" s="5" t="s">
        <v>963</v>
      </c>
    </row>
    <row r="1936" spans="1:5" x14ac:dyDescent="0.25">
      <c r="A1936" s="5">
        <f>1928</f>
      </c>
      <c r="B1936" s="5" t="s">
        <v>2019</v>
      </c>
      <c r="C1936" s="5" t="s">
        <v>11</v>
      </c>
      <c r="D1936" s="5" t="s">
        <v>12</v>
      </c>
      <c r="E1936" s="5" t="s">
        <v>963</v>
      </c>
    </row>
    <row r="1937" spans="1:5" x14ac:dyDescent="0.25">
      <c r="A1937" s="5">
        <f>1929</f>
      </c>
      <c r="B1937" s="5" t="s">
        <v>2020</v>
      </c>
      <c r="C1937" s="5" t="s">
        <v>11</v>
      </c>
      <c r="D1937" s="5" t="s">
        <v>12</v>
      </c>
      <c r="E1937" s="5" t="s">
        <v>963</v>
      </c>
    </row>
    <row r="1938" spans="1:5" x14ac:dyDescent="0.25">
      <c r="A1938" s="5">
        <f>1930</f>
      </c>
      <c r="B1938" s="5" t="s">
        <v>2021</v>
      </c>
      <c r="C1938" s="5" t="s">
        <v>11</v>
      </c>
      <c r="D1938" s="5" t="s">
        <v>12</v>
      </c>
      <c r="E1938" s="5" t="s">
        <v>963</v>
      </c>
    </row>
    <row r="1939" spans="1:5" x14ac:dyDescent="0.25">
      <c r="A1939" s="5">
        <f>1931</f>
      </c>
      <c r="B1939" s="5" t="s">
        <v>2022</v>
      </c>
      <c r="C1939" s="5" t="s">
        <v>11</v>
      </c>
      <c r="D1939" s="5" t="s">
        <v>12</v>
      </c>
      <c r="E1939" s="5" t="s">
        <v>963</v>
      </c>
    </row>
    <row r="1940" spans="1:5" x14ac:dyDescent="0.25">
      <c r="A1940" s="5">
        <f>1932</f>
      </c>
      <c r="B1940" s="5" t="s">
        <v>2023</v>
      </c>
      <c r="C1940" s="5" t="s">
        <v>11</v>
      </c>
      <c r="D1940" s="5" t="s">
        <v>12</v>
      </c>
      <c r="E1940" s="5" t="s">
        <v>963</v>
      </c>
    </row>
    <row r="1941" spans="1:5" x14ac:dyDescent="0.25">
      <c r="A1941" s="5">
        <f>1933</f>
      </c>
      <c r="B1941" s="5" t="s">
        <v>2024</v>
      </c>
      <c r="C1941" s="5" t="s">
        <v>11</v>
      </c>
      <c r="D1941" s="5" t="s">
        <v>12</v>
      </c>
      <c r="E1941" s="5" t="s">
        <v>963</v>
      </c>
    </row>
    <row r="1942" spans="1:5" x14ac:dyDescent="0.25">
      <c r="A1942" s="5">
        <f>1934</f>
      </c>
      <c r="B1942" s="5" t="s">
        <v>2025</v>
      </c>
      <c r="C1942" s="5" t="s">
        <v>11</v>
      </c>
      <c r="D1942" s="5" t="s">
        <v>12</v>
      </c>
      <c r="E1942" s="5" t="s">
        <v>963</v>
      </c>
    </row>
    <row r="1943" spans="1:5" x14ac:dyDescent="0.25">
      <c r="A1943" s="5">
        <f>1935</f>
      </c>
      <c r="B1943" s="5" t="s">
        <v>2026</v>
      </c>
      <c r="C1943" s="5" t="s">
        <v>11</v>
      </c>
      <c r="D1943" s="5" t="s">
        <v>12</v>
      </c>
      <c r="E1943" s="5" t="s">
        <v>963</v>
      </c>
    </row>
    <row r="1944" spans="1:5" x14ac:dyDescent="0.25">
      <c r="A1944" s="5">
        <f>1936</f>
      </c>
      <c r="B1944" s="5" t="s">
        <v>2027</v>
      </c>
      <c r="C1944" s="5" t="s">
        <v>11</v>
      </c>
      <c r="D1944" s="5" t="s">
        <v>12</v>
      </c>
      <c r="E1944" s="5" t="s">
        <v>963</v>
      </c>
    </row>
    <row r="1945" spans="1:5" x14ac:dyDescent="0.25">
      <c r="A1945" s="5">
        <f>1937</f>
      </c>
      <c r="B1945" s="5" t="s">
        <v>2028</v>
      </c>
      <c r="C1945" s="5" t="s">
        <v>11</v>
      </c>
      <c r="D1945" s="5" t="s">
        <v>12</v>
      </c>
      <c r="E1945" s="5" t="s">
        <v>963</v>
      </c>
    </row>
    <row r="1946" spans="1:5" x14ac:dyDescent="0.25">
      <c r="A1946" s="5">
        <f>1938</f>
      </c>
      <c r="B1946" s="5" t="s">
        <v>2029</v>
      </c>
      <c r="C1946" s="5" t="s">
        <v>11</v>
      </c>
      <c r="D1946" s="5" t="s">
        <v>12</v>
      </c>
      <c r="E1946" s="5" t="s">
        <v>963</v>
      </c>
    </row>
    <row r="1947" spans="1:5" x14ac:dyDescent="0.25">
      <c r="A1947" s="5">
        <f>1939</f>
      </c>
      <c r="B1947" s="5" t="s">
        <v>2030</v>
      </c>
      <c r="C1947" s="5" t="s">
        <v>11</v>
      </c>
      <c r="D1947" s="5" t="s">
        <v>12</v>
      </c>
      <c r="E1947" s="5" t="s">
        <v>963</v>
      </c>
    </row>
    <row r="1948" spans="1:5" x14ac:dyDescent="0.25">
      <c r="A1948" s="5">
        <f>1940</f>
      </c>
      <c r="B1948" s="5" t="s">
        <v>2031</v>
      </c>
      <c r="C1948" s="5" t="s">
        <v>11</v>
      </c>
      <c r="D1948" s="5" t="s">
        <v>12</v>
      </c>
      <c r="E1948" s="5" t="s">
        <v>963</v>
      </c>
    </row>
    <row r="1949" spans="1:5" x14ac:dyDescent="0.25">
      <c r="A1949" s="5">
        <f>1941</f>
      </c>
      <c r="B1949" s="5" t="s">
        <v>2032</v>
      </c>
      <c r="C1949" s="5" t="s">
        <v>11</v>
      </c>
      <c r="D1949" s="5" t="s">
        <v>12</v>
      </c>
      <c r="E1949" s="5" t="s">
        <v>963</v>
      </c>
    </row>
    <row r="1950" spans="1:5" x14ac:dyDescent="0.25">
      <c r="A1950" s="5">
        <f>1942</f>
      </c>
      <c r="B1950" s="5" t="s">
        <v>2033</v>
      </c>
      <c r="C1950" s="5" t="s">
        <v>11</v>
      </c>
      <c r="D1950" s="5" t="s">
        <v>12</v>
      </c>
      <c r="E1950" s="5" t="s">
        <v>963</v>
      </c>
    </row>
    <row r="1951" spans="1:5" x14ac:dyDescent="0.25">
      <c r="A1951" s="5">
        <f>1943</f>
      </c>
      <c r="B1951" s="5" t="s">
        <v>2034</v>
      </c>
      <c r="C1951" s="5" t="s">
        <v>11</v>
      </c>
      <c r="D1951" s="5" t="s">
        <v>12</v>
      </c>
      <c r="E1951" s="5" t="s">
        <v>963</v>
      </c>
    </row>
    <row r="1952" spans="1:5" x14ac:dyDescent="0.25">
      <c r="A1952" s="5">
        <f>1944</f>
      </c>
      <c r="B1952" s="5" t="s">
        <v>2035</v>
      </c>
      <c r="C1952" s="5" t="s">
        <v>11</v>
      </c>
      <c r="D1952" s="5" t="s">
        <v>12</v>
      </c>
      <c r="E1952" s="5" t="s">
        <v>963</v>
      </c>
    </row>
    <row r="1953" spans="1:5" x14ac:dyDescent="0.25">
      <c r="A1953" s="5">
        <f>1945</f>
      </c>
      <c r="B1953" s="5" t="s">
        <v>2036</v>
      </c>
      <c r="C1953" s="5" t="s">
        <v>11</v>
      </c>
      <c r="D1953" s="5" t="s">
        <v>12</v>
      </c>
      <c r="E1953" s="5" t="s">
        <v>963</v>
      </c>
    </row>
    <row r="1954" spans="1:5" x14ac:dyDescent="0.25">
      <c r="A1954" s="5">
        <f>1946</f>
      </c>
      <c r="B1954" s="5" t="s">
        <v>2037</v>
      </c>
      <c r="C1954" s="5" t="s">
        <v>11</v>
      </c>
      <c r="D1954" s="5" t="s">
        <v>12</v>
      </c>
      <c r="E1954" s="5" t="s">
        <v>963</v>
      </c>
    </row>
    <row r="1955" spans="1:5" x14ac:dyDescent="0.25">
      <c r="A1955" s="5">
        <f>1947</f>
      </c>
      <c r="B1955" s="5" t="s">
        <v>2038</v>
      </c>
      <c r="C1955" s="5" t="s">
        <v>11</v>
      </c>
      <c r="D1955" s="5" t="s">
        <v>12</v>
      </c>
      <c r="E1955" s="5" t="s">
        <v>963</v>
      </c>
    </row>
    <row r="1956" spans="1:5" x14ac:dyDescent="0.25">
      <c r="A1956" s="5">
        <f>1948</f>
      </c>
      <c r="B1956" s="5" t="s">
        <v>2039</v>
      </c>
      <c r="C1956" s="5" t="s">
        <v>11</v>
      </c>
      <c r="D1956" s="5" t="s">
        <v>12</v>
      </c>
      <c r="E1956" s="5" t="s">
        <v>963</v>
      </c>
    </row>
    <row r="1957" spans="1:5" x14ac:dyDescent="0.25">
      <c r="A1957" s="5">
        <f>1949</f>
      </c>
      <c r="B1957" s="5" t="s">
        <v>2040</v>
      </c>
      <c r="C1957" s="5" t="s">
        <v>11</v>
      </c>
      <c r="D1957" s="5" t="s">
        <v>12</v>
      </c>
      <c r="E1957" s="5" t="s">
        <v>963</v>
      </c>
    </row>
    <row r="1958" spans="1:5" x14ac:dyDescent="0.25">
      <c r="A1958" s="5">
        <f>1950</f>
      </c>
      <c r="B1958" s="5" t="s">
        <v>2041</v>
      </c>
      <c r="C1958" s="5" t="s">
        <v>11</v>
      </c>
      <c r="D1958" s="5" t="s">
        <v>12</v>
      </c>
      <c r="E1958" s="5" t="s">
        <v>963</v>
      </c>
    </row>
    <row r="1959" spans="1:5" x14ac:dyDescent="0.25">
      <c r="A1959" s="5">
        <f>1951</f>
      </c>
      <c r="B1959" s="5" t="s">
        <v>2042</v>
      </c>
      <c r="C1959" s="5" t="s">
        <v>11</v>
      </c>
      <c r="D1959" s="5" t="s">
        <v>12</v>
      </c>
      <c r="E1959" s="5" t="s">
        <v>963</v>
      </c>
    </row>
    <row r="1960" spans="1:5" x14ac:dyDescent="0.25">
      <c r="A1960" s="5">
        <f>1952</f>
      </c>
      <c r="B1960" s="5" t="s">
        <v>2043</v>
      </c>
      <c r="C1960" s="5" t="s">
        <v>11</v>
      </c>
      <c r="D1960" s="5" t="s">
        <v>12</v>
      </c>
      <c r="E1960" s="5" t="s">
        <v>963</v>
      </c>
    </row>
    <row r="1961" spans="1:5" x14ac:dyDescent="0.25">
      <c r="A1961" s="5">
        <f>1953</f>
      </c>
      <c r="B1961" s="5" t="s">
        <v>2044</v>
      </c>
      <c r="C1961" s="5" t="s">
        <v>11</v>
      </c>
      <c r="D1961" s="5" t="s">
        <v>12</v>
      </c>
      <c r="E1961" s="5" t="s">
        <v>963</v>
      </c>
    </row>
    <row r="1962" spans="1:5" x14ac:dyDescent="0.25">
      <c r="A1962" s="5">
        <f>1954</f>
      </c>
      <c r="B1962" s="5" t="s">
        <v>2045</v>
      </c>
      <c r="C1962" s="5" t="s">
        <v>11</v>
      </c>
      <c r="D1962" s="5" t="s">
        <v>12</v>
      </c>
      <c r="E1962" s="5" t="s">
        <v>963</v>
      </c>
    </row>
    <row r="1963" spans="1:5" x14ac:dyDescent="0.25">
      <c r="A1963" s="5">
        <f>1955</f>
      </c>
      <c r="B1963" s="5" t="s">
        <v>2046</v>
      </c>
      <c r="C1963" s="5" t="s">
        <v>11</v>
      </c>
      <c r="D1963" s="5" t="s">
        <v>12</v>
      </c>
      <c r="E1963" s="5" t="s">
        <v>963</v>
      </c>
    </row>
    <row r="1964" spans="1:5" x14ac:dyDescent="0.25">
      <c r="A1964" s="5">
        <f>1956</f>
      </c>
      <c r="B1964" s="5" t="s">
        <v>2047</v>
      </c>
      <c r="C1964" s="5" t="s">
        <v>11</v>
      </c>
      <c r="D1964" s="5" t="s">
        <v>12</v>
      </c>
      <c r="E1964" s="5" t="s">
        <v>963</v>
      </c>
    </row>
    <row r="1965" spans="1:5" x14ac:dyDescent="0.25">
      <c r="A1965" s="5">
        <f>1957</f>
      </c>
      <c r="B1965" s="5" t="s">
        <v>2048</v>
      </c>
      <c r="C1965" s="5" t="s">
        <v>11</v>
      </c>
      <c r="D1965" s="5" t="s">
        <v>12</v>
      </c>
      <c r="E1965" s="5" t="s">
        <v>963</v>
      </c>
    </row>
    <row r="1966" spans="1:5" x14ac:dyDescent="0.25">
      <c r="A1966" s="5">
        <f>1958</f>
      </c>
      <c r="B1966" s="5" t="s">
        <v>2049</v>
      </c>
      <c r="C1966" s="5" t="s">
        <v>11</v>
      </c>
      <c r="D1966" s="5" t="s">
        <v>12</v>
      </c>
      <c r="E1966" s="5" t="s">
        <v>963</v>
      </c>
    </row>
    <row r="1967" spans="1:5" x14ac:dyDescent="0.25">
      <c r="A1967" s="5">
        <f>1959</f>
      </c>
      <c r="B1967" s="5" t="s">
        <v>2050</v>
      </c>
      <c r="C1967" s="5" t="s">
        <v>11</v>
      </c>
      <c r="D1967" s="5" t="s">
        <v>12</v>
      </c>
      <c r="E1967" s="5" t="s">
        <v>963</v>
      </c>
    </row>
    <row r="1968" spans="1:5" x14ac:dyDescent="0.25">
      <c r="A1968" s="5">
        <f>1960</f>
      </c>
      <c r="B1968" s="5" t="s">
        <v>2051</v>
      </c>
      <c r="C1968" s="5" t="s">
        <v>11</v>
      </c>
      <c r="D1968" s="5" t="s">
        <v>12</v>
      </c>
      <c r="E1968" s="5" t="s">
        <v>963</v>
      </c>
    </row>
    <row r="1969" spans="1:5" x14ac:dyDescent="0.25">
      <c r="A1969" s="5">
        <f>1961</f>
      </c>
      <c r="B1969" s="5" t="s">
        <v>2052</v>
      </c>
      <c r="C1969" s="5" t="s">
        <v>11</v>
      </c>
      <c r="D1969" s="5" t="s">
        <v>12</v>
      </c>
      <c r="E1969" s="5" t="s">
        <v>963</v>
      </c>
    </row>
    <row r="1970" spans="1:5" x14ac:dyDescent="0.25">
      <c r="A1970" s="5">
        <f>1962</f>
      </c>
      <c r="B1970" s="5" t="s">
        <v>2053</v>
      </c>
      <c r="C1970" s="5" t="s">
        <v>11</v>
      </c>
      <c r="D1970" s="5" t="s">
        <v>12</v>
      </c>
      <c r="E1970" s="5" t="s">
        <v>963</v>
      </c>
    </row>
    <row r="1971" spans="1:5" x14ac:dyDescent="0.25">
      <c r="A1971" s="5">
        <f>1963</f>
      </c>
      <c r="B1971" s="5" t="s">
        <v>2054</v>
      </c>
      <c r="C1971" s="5" t="s">
        <v>11</v>
      </c>
      <c r="D1971" s="5" t="s">
        <v>12</v>
      </c>
      <c r="E1971" s="5" t="s">
        <v>963</v>
      </c>
    </row>
    <row r="1972" spans="1:5" x14ac:dyDescent="0.25">
      <c r="A1972" s="5">
        <f>1964</f>
      </c>
      <c r="B1972" s="5" t="s">
        <v>2055</v>
      </c>
      <c r="C1972" s="5" t="s">
        <v>11</v>
      </c>
      <c r="D1972" s="5" t="s">
        <v>12</v>
      </c>
      <c r="E1972" s="5" t="s">
        <v>963</v>
      </c>
    </row>
    <row r="1973" spans="1:5" x14ac:dyDescent="0.25">
      <c r="A1973" s="5">
        <f>1965</f>
      </c>
      <c r="B1973" s="5" t="s">
        <v>2056</v>
      </c>
      <c r="C1973" s="5" t="s">
        <v>11</v>
      </c>
      <c r="D1973" s="5" t="s">
        <v>12</v>
      </c>
      <c r="E1973" s="5" t="s">
        <v>963</v>
      </c>
    </row>
    <row r="1974" spans="1:5" x14ac:dyDescent="0.25">
      <c r="A1974" s="5">
        <f>1966</f>
      </c>
      <c r="B1974" s="5" t="s">
        <v>2057</v>
      </c>
      <c r="C1974" s="5" t="s">
        <v>11</v>
      </c>
      <c r="D1974" s="5" t="s">
        <v>12</v>
      </c>
      <c r="E1974" s="5" t="s">
        <v>963</v>
      </c>
    </row>
    <row r="1975" spans="1:5" x14ac:dyDescent="0.25">
      <c r="A1975" s="5">
        <f>1967</f>
      </c>
      <c r="B1975" s="5" t="s">
        <v>2058</v>
      </c>
      <c r="C1975" s="5" t="s">
        <v>11</v>
      </c>
      <c r="D1975" s="5" t="s">
        <v>12</v>
      </c>
      <c r="E1975" s="5" t="s">
        <v>963</v>
      </c>
    </row>
    <row r="1976" spans="1:5" x14ac:dyDescent="0.25">
      <c r="A1976" s="5">
        <f>1968</f>
      </c>
      <c r="B1976" s="5" t="s">
        <v>2059</v>
      </c>
      <c r="C1976" s="5" t="s">
        <v>11</v>
      </c>
      <c r="D1976" s="5" t="s">
        <v>12</v>
      </c>
      <c r="E1976" s="5" t="s">
        <v>963</v>
      </c>
    </row>
    <row r="1977" spans="1:5" x14ac:dyDescent="0.25">
      <c r="A1977" s="5">
        <f>1969</f>
      </c>
      <c r="B1977" s="5" t="s">
        <v>2060</v>
      </c>
      <c r="C1977" s="5" t="s">
        <v>11</v>
      </c>
      <c r="D1977" s="5" t="s">
        <v>12</v>
      </c>
      <c r="E1977" s="5" t="s">
        <v>963</v>
      </c>
    </row>
    <row r="1978" spans="1:5" x14ac:dyDescent="0.25">
      <c r="A1978" s="5">
        <f>1970</f>
      </c>
      <c r="B1978" s="5" t="s">
        <v>2061</v>
      </c>
      <c r="C1978" s="5" t="s">
        <v>11</v>
      </c>
      <c r="D1978" s="5" t="s">
        <v>12</v>
      </c>
      <c r="E1978" s="5" t="s">
        <v>963</v>
      </c>
    </row>
    <row r="1979" spans="1:5" x14ac:dyDescent="0.25">
      <c r="A1979" s="5">
        <f>1971</f>
      </c>
      <c r="B1979" s="5" t="s">
        <v>2062</v>
      </c>
      <c r="C1979" s="5" t="s">
        <v>11</v>
      </c>
      <c r="D1979" s="5" t="s">
        <v>12</v>
      </c>
      <c r="E1979" s="5" t="s">
        <v>963</v>
      </c>
    </row>
    <row r="1980" spans="1:5" x14ac:dyDescent="0.25">
      <c r="A1980" s="5">
        <f>1972</f>
      </c>
      <c r="B1980" s="5" t="s">
        <v>2063</v>
      </c>
      <c r="C1980" s="5" t="s">
        <v>11</v>
      </c>
      <c r="D1980" s="5" t="s">
        <v>12</v>
      </c>
      <c r="E1980" s="5" t="s">
        <v>963</v>
      </c>
    </row>
    <row r="1981" spans="1:5" x14ac:dyDescent="0.25">
      <c r="A1981" s="5">
        <f>1973</f>
      </c>
      <c r="B1981" s="5" t="s">
        <v>2064</v>
      </c>
      <c r="C1981" s="5" t="s">
        <v>11</v>
      </c>
      <c r="D1981" s="5" t="s">
        <v>12</v>
      </c>
      <c r="E1981" s="5" t="s">
        <v>963</v>
      </c>
    </row>
    <row r="1982" spans="1:5" x14ac:dyDescent="0.25">
      <c r="A1982" s="5">
        <f>1974</f>
      </c>
      <c r="B1982" s="5" t="s">
        <v>2065</v>
      </c>
      <c r="C1982" s="5" t="s">
        <v>11</v>
      </c>
      <c r="D1982" s="5" t="s">
        <v>12</v>
      </c>
      <c r="E1982" s="5" t="s">
        <v>963</v>
      </c>
    </row>
    <row r="1983" spans="1:5" x14ac:dyDescent="0.25">
      <c r="A1983" s="5">
        <f>1975</f>
      </c>
      <c r="B1983" s="5" t="s">
        <v>2066</v>
      </c>
      <c r="C1983" s="5" t="s">
        <v>11</v>
      </c>
      <c r="D1983" s="5" t="s">
        <v>12</v>
      </c>
      <c r="E1983" s="5" t="s">
        <v>963</v>
      </c>
    </row>
    <row r="1984" spans="1:5" x14ac:dyDescent="0.25">
      <c r="A1984" s="5">
        <f>1976</f>
      </c>
      <c r="B1984" s="5" t="s">
        <v>2067</v>
      </c>
      <c r="C1984" s="5" t="s">
        <v>11</v>
      </c>
      <c r="D1984" s="5" t="s">
        <v>12</v>
      </c>
      <c r="E1984" s="5" t="s">
        <v>963</v>
      </c>
    </row>
    <row r="1985" spans="1:5" x14ac:dyDescent="0.25">
      <c r="A1985" s="5">
        <f>1977</f>
      </c>
      <c r="B1985" s="5" t="s">
        <v>2068</v>
      </c>
      <c r="C1985" s="5" t="s">
        <v>11</v>
      </c>
      <c r="D1985" s="5" t="s">
        <v>12</v>
      </c>
      <c r="E1985" s="5" t="s">
        <v>963</v>
      </c>
    </row>
    <row r="1986" spans="1:5" x14ac:dyDescent="0.25">
      <c r="A1986" s="5">
        <f>1978</f>
      </c>
      <c r="B1986" s="5" t="s">
        <v>2069</v>
      </c>
      <c r="C1986" s="5" t="s">
        <v>11</v>
      </c>
      <c r="D1986" s="5" t="s">
        <v>12</v>
      </c>
      <c r="E1986" s="5" t="s">
        <v>963</v>
      </c>
    </row>
    <row r="1987" spans="1:5" x14ac:dyDescent="0.25">
      <c r="A1987" s="5">
        <f>1979</f>
      </c>
      <c r="B1987" s="5" t="s">
        <v>2070</v>
      </c>
      <c r="C1987" s="5" t="s">
        <v>11</v>
      </c>
      <c r="D1987" s="5" t="s">
        <v>12</v>
      </c>
      <c r="E1987" s="5" t="s">
        <v>963</v>
      </c>
    </row>
    <row r="1988" spans="1:5" x14ac:dyDescent="0.25">
      <c r="A1988" s="5">
        <f>1980</f>
      </c>
      <c r="B1988" s="5" t="s">
        <v>2071</v>
      </c>
      <c r="C1988" s="5" t="s">
        <v>11</v>
      </c>
      <c r="D1988" s="5" t="s">
        <v>12</v>
      </c>
      <c r="E1988" s="5" t="s">
        <v>963</v>
      </c>
    </row>
    <row r="1989" spans="1:5" x14ac:dyDescent="0.25">
      <c r="A1989" s="5">
        <f>1981</f>
      </c>
      <c r="B1989" s="5" t="s">
        <v>2072</v>
      </c>
      <c r="C1989" s="5" t="s">
        <v>11</v>
      </c>
      <c r="D1989" s="5" t="s">
        <v>12</v>
      </c>
      <c r="E1989" s="5" t="s">
        <v>963</v>
      </c>
    </row>
    <row r="1990" spans="1:5" x14ac:dyDescent="0.25">
      <c r="A1990" s="5">
        <f>1982</f>
      </c>
      <c r="B1990" s="5" t="s">
        <v>2073</v>
      </c>
      <c r="C1990" s="5" t="s">
        <v>11</v>
      </c>
      <c r="D1990" s="5" t="s">
        <v>12</v>
      </c>
      <c r="E1990" s="5" t="s">
        <v>963</v>
      </c>
    </row>
    <row r="1991" spans="1:5" x14ac:dyDescent="0.25">
      <c r="A1991" s="5">
        <f>1983</f>
      </c>
      <c r="B1991" s="5" t="s">
        <v>2074</v>
      </c>
      <c r="C1991" s="5" t="s">
        <v>11</v>
      </c>
      <c r="D1991" s="5" t="s">
        <v>12</v>
      </c>
      <c r="E1991" s="5" t="s">
        <v>963</v>
      </c>
    </row>
    <row r="1992" spans="1:5" x14ac:dyDescent="0.25">
      <c r="A1992" s="5">
        <f>1984</f>
      </c>
      <c r="B1992" s="5" t="s">
        <v>2075</v>
      </c>
      <c r="C1992" s="5" t="s">
        <v>11</v>
      </c>
      <c r="D1992" s="5" t="s">
        <v>12</v>
      </c>
      <c r="E1992" s="5" t="s">
        <v>963</v>
      </c>
    </row>
    <row r="1993" spans="1:5" x14ac:dyDescent="0.25">
      <c r="A1993" s="5">
        <f>1985</f>
      </c>
      <c r="B1993" s="5" t="s">
        <v>2076</v>
      </c>
      <c r="C1993" s="5" t="s">
        <v>11</v>
      </c>
      <c r="D1993" s="5" t="s">
        <v>12</v>
      </c>
      <c r="E1993" s="5" t="s">
        <v>963</v>
      </c>
    </row>
    <row r="1994" spans="1:5" x14ac:dyDescent="0.25">
      <c r="A1994" s="5">
        <f>1986</f>
      </c>
      <c r="B1994" s="5" t="s">
        <v>2077</v>
      </c>
      <c r="C1994" s="5" t="s">
        <v>11</v>
      </c>
      <c r="D1994" s="5" t="s">
        <v>12</v>
      </c>
      <c r="E1994" s="5" t="s">
        <v>963</v>
      </c>
    </row>
    <row r="1995" spans="1:5" x14ac:dyDescent="0.25">
      <c r="A1995" s="5">
        <f>1987</f>
      </c>
      <c r="B1995" s="5" t="s">
        <v>2078</v>
      </c>
      <c r="C1995" s="5" t="s">
        <v>11</v>
      </c>
      <c r="D1995" s="5" t="s">
        <v>12</v>
      </c>
      <c r="E1995" s="5" t="s">
        <v>963</v>
      </c>
    </row>
    <row r="1996" spans="1:5" x14ac:dyDescent="0.25">
      <c r="A1996" s="5">
        <f>1988</f>
      </c>
      <c r="B1996" s="5" t="s">
        <v>2079</v>
      </c>
      <c r="C1996" s="5" t="s">
        <v>11</v>
      </c>
      <c r="D1996" s="5" t="s">
        <v>12</v>
      </c>
      <c r="E1996" s="5" t="s">
        <v>963</v>
      </c>
    </row>
    <row r="1997" spans="1:5" x14ac:dyDescent="0.25">
      <c r="A1997" s="5">
        <f>1989</f>
      </c>
      <c r="B1997" s="5" t="s">
        <v>2080</v>
      </c>
      <c r="C1997" s="5" t="s">
        <v>11</v>
      </c>
      <c r="D1997" s="5" t="s">
        <v>12</v>
      </c>
      <c r="E1997" s="5" t="s">
        <v>963</v>
      </c>
    </row>
    <row r="1998" spans="1:5" x14ac:dyDescent="0.25">
      <c r="A1998" s="5">
        <f>1990</f>
      </c>
      <c r="B1998" s="5" t="s">
        <v>2081</v>
      </c>
      <c r="C1998" s="5" t="s">
        <v>11</v>
      </c>
      <c r="D1998" s="5" t="s">
        <v>12</v>
      </c>
      <c r="E1998" s="5" t="s">
        <v>963</v>
      </c>
    </row>
    <row r="1999" spans="1:5" x14ac:dyDescent="0.25">
      <c r="A1999" s="5">
        <f>1991</f>
      </c>
      <c r="B1999" s="5" t="s">
        <v>2082</v>
      </c>
      <c r="C1999" s="5" t="s">
        <v>11</v>
      </c>
      <c r="D1999" s="5" t="s">
        <v>12</v>
      </c>
      <c r="E1999" s="5" t="s">
        <v>963</v>
      </c>
    </row>
    <row r="2000" spans="1:5" x14ac:dyDescent="0.25">
      <c r="A2000" s="5">
        <f>1992</f>
      </c>
      <c r="B2000" s="5" t="s">
        <v>2083</v>
      </c>
      <c r="C2000" s="5" t="s">
        <v>11</v>
      </c>
      <c r="D2000" s="5" t="s">
        <v>12</v>
      </c>
      <c r="E2000" s="5" t="s">
        <v>963</v>
      </c>
    </row>
    <row r="2001" spans="1:5" x14ac:dyDescent="0.25">
      <c r="A2001" s="5">
        <f>1993</f>
      </c>
      <c r="B2001" s="5" t="s">
        <v>2084</v>
      </c>
      <c r="C2001" s="5" t="s">
        <v>11</v>
      </c>
      <c r="D2001" s="5" t="s">
        <v>12</v>
      </c>
      <c r="E2001" s="5" t="s">
        <v>963</v>
      </c>
    </row>
    <row r="2002" spans="1:5" x14ac:dyDescent="0.25">
      <c r="A2002" s="5">
        <f>1994</f>
      </c>
      <c r="B2002" s="5" t="s">
        <v>2085</v>
      </c>
      <c r="C2002" s="5" t="s">
        <v>11</v>
      </c>
      <c r="D2002" s="5" t="s">
        <v>12</v>
      </c>
      <c r="E2002" s="5" t="s">
        <v>963</v>
      </c>
    </row>
    <row r="2003" spans="1:5" x14ac:dyDescent="0.25">
      <c r="A2003" s="5">
        <f>1995</f>
      </c>
      <c r="B2003" s="5" t="s">
        <v>2086</v>
      </c>
      <c r="C2003" s="5" t="s">
        <v>11</v>
      </c>
      <c r="D2003" s="5" t="s">
        <v>12</v>
      </c>
      <c r="E2003" s="5" t="s">
        <v>963</v>
      </c>
    </row>
    <row r="2004" spans="1:5" x14ac:dyDescent="0.25">
      <c r="A2004" s="5">
        <f>1996</f>
      </c>
      <c r="B2004" s="5" t="s">
        <v>2087</v>
      </c>
      <c r="C2004" s="5" t="s">
        <v>11</v>
      </c>
      <c r="D2004" s="5" t="s">
        <v>12</v>
      </c>
      <c r="E2004" s="5" t="s">
        <v>963</v>
      </c>
    </row>
    <row r="2005" spans="1:5" x14ac:dyDescent="0.25">
      <c r="A2005" s="5">
        <f>1997</f>
      </c>
      <c r="B2005" s="5" t="s">
        <v>2088</v>
      </c>
      <c r="C2005" s="5" t="s">
        <v>11</v>
      </c>
      <c r="D2005" s="5" t="s">
        <v>12</v>
      </c>
      <c r="E2005" s="5" t="s">
        <v>963</v>
      </c>
    </row>
    <row r="2006" spans="1:5" x14ac:dyDescent="0.25">
      <c r="A2006" s="5">
        <f>1998</f>
      </c>
      <c r="B2006" s="5" t="s">
        <v>2089</v>
      </c>
      <c r="C2006" s="5" t="s">
        <v>11</v>
      </c>
      <c r="D2006" s="5" t="s">
        <v>12</v>
      </c>
      <c r="E2006" s="5" t="s">
        <v>963</v>
      </c>
    </row>
    <row r="2007" spans="1:5" x14ac:dyDescent="0.25">
      <c r="A2007" s="5">
        <f>1999</f>
      </c>
      <c r="B2007" s="5" t="s">
        <v>2090</v>
      </c>
      <c r="C2007" s="5" t="s">
        <v>11</v>
      </c>
      <c r="D2007" s="5" t="s">
        <v>12</v>
      </c>
      <c r="E2007" s="5" t="s">
        <v>963</v>
      </c>
    </row>
    <row r="2008" spans="1:5" x14ac:dyDescent="0.25">
      <c r="A2008" s="5">
        <f>2000</f>
      </c>
      <c r="B2008" s="5" t="s">
        <v>2091</v>
      </c>
      <c r="C2008" s="5" t="s">
        <v>11</v>
      </c>
      <c r="D2008" s="5" t="s">
        <v>12</v>
      </c>
      <c r="E2008" s="5" t="s">
        <v>963</v>
      </c>
    </row>
    <row r="2009" spans="1:5" x14ac:dyDescent="0.25">
      <c r="A2009" s="5">
        <f>2001</f>
      </c>
      <c r="B2009" s="5" t="s">
        <v>2092</v>
      </c>
      <c r="C2009" s="5" t="s">
        <v>11</v>
      </c>
      <c r="D2009" s="5" t="s">
        <v>12</v>
      </c>
      <c r="E2009" s="5" t="s">
        <v>963</v>
      </c>
    </row>
    <row r="2010" spans="1:5" x14ac:dyDescent="0.25">
      <c r="A2010" s="5">
        <f>2002</f>
      </c>
      <c r="B2010" s="5" t="s">
        <v>2093</v>
      </c>
      <c r="C2010" s="5" t="s">
        <v>11</v>
      </c>
      <c r="D2010" s="5" t="s">
        <v>12</v>
      </c>
      <c r="E2010" s="5" t="s">
        <v>963</v>
      </c>
    </row>
    <row r="2011" spans="1:5" x14ac:dyDescent="0.25">
      <c r="A2011" s="5">
        <f>2003</f>
      </c>
      <c r="B2011" s="5" t="s">
        <v>2094</v>
      </c>
      <c r="C2011" s="5" t="s">
        <v>11</v>
      </c>
      <c r="D2011" s="5" t="s">
        <v>12</v>
      </c>
      <c r="E2011" s="5" t="s">
        <v>963</v>
      </c>
    </row>
    <row r="2012" spans="1:5" x14ac:dyDescent="0.25">
      <c r="A2012" s="5">
        <f>2004</f>
      </c>
      <c r="B2012" s="5" t="s">
        <v>2095</v>
      </c>
      <c r="C2012" s="5" t="s">
        <v>11</v>
      </c>
      <c r="D2012" s="5" t="s">
        <v>12</v>
      </c>
      <c r="E2012" s="5" t="s">
        <v>963</v>
      </c>
    </row>
    <row r="2013" spans="1:5" x14ac:dyDescent="0.25">
      <c r="A2013" s="5">
        <f>2005</f>
      </c>
      <c r="B2013" s="5" t="s">
        <v>2096</v>
      </c>
      <c r="C2013" s="5" t="s">
        <v>11</v>
      </c>
      <c r="D2013" s="5" t="s">
        <v>12</v>
      </c>
      <c r="E2013" s="5" t="s">
        <v>963</v>
      </c>
    </row>
    <row r="2014" spans="1:5" x14ac:dyDescent="0.25">
      <c r="A2014" s="5">
        <f>2006</f>
      </c>
      <c r="B2014" s="5" t="s">
        <v>2097</v>
      </c>
      <c r="C2014" s="5" t="s">
        <v>11</v>
      </c>
      <c r="D2014" s="5" t="s">
        <v>12</v>
      </c>
      <c r="E2014" s="5" t="s">
        <v>963</v>
      </c>
    </row>
    <row r="2015" spans="1:5" x14ac:dyDescent="0.25">
      <c r="A2015" s="5">
        <f>2007</f>
      </c>
      <c r="B2015" s="5" t="s">
        <v>2098</v>
      </c>
      <c r="C2015" s="5" t="s">
        <v>11</v>
      </c>
      <c r="D2015" s="5" t="s">
        <v>12</v>
      </c>
      <c r="E2015" s="5" t="s">
        <v>963</v>
      </c>
    </row>
    <row r="2016" spans="1:5" x14ac:dyDescent="0.25">
      <c r="A2016" s="5">
        <f>2008</f>
      </c>
      <c r="B2016" s="5" t="s">
        <v>2099</v>
      </c>
      <c r="C2016" s="5" t="s">
        <v>11</v>
      </c>
      <c r="D2016" s="5" t="s">
        <v>12</v>
      </c>
      <c r="E2016" s="5" t="s">
        <v>963</v>
      </c>
    </row>
    <row r="2017" spans="1:5" x14ac:dyDescent="0.25">
      <c r="A2017" s="5">
        <f>2009</f>
      </c>
      <c r="B2017" s="5" t="s">
        <v>2100</v>
      </c>
      <c r="C2017" s="5" t="s">
        <v>11</v>
      </c>
      <c r="D2017" s="5" t="s">
        <v>12</v>
      </c>
      <c r="E2017" s="5" t="s">
        <v>963</v>
      </c>
    </row>
    <row r="2018" spans="1:5" x14ac:dyDescent="0.25">
      <c r="A2018" s="5">
        <f>2010</f>
      </c>
      <c r="B2018" s="5" t="s">
        <v>2101</v>
      </c>
      <c r="C2018" s="5" t="s">
        <v>11</v>
      </c>
      <c r="D2018" s="5" t="s">
        <v>12</v>
      </c>
      <c r="E2018" s="5" t="s">
        <v>963</v>
      </c>
    </row>
    <row r="2019" spans="1:5" x14ac:dyDescent="0.25">
      <c r="A2019" s="5">
        <f>2011</f>
      </c>
      <c r="B2019" s="5" t="s">
        <v>2102</v>
      </c>
      <c r="C2019" s="5" t="s">
        <v>11</v>
      </c>
      <c r="D2019" s="5" t="s">
        <v>12</v>
      </c>
      <c r="E2019" s="5" t="s">
        <v>963</v>
      </c>
    </row>
    <row r="2020" spans="1:5" x14ac:dyDescent="0.25">
      <c r="A2020" s="5">
        <f>2012</f>
      </c>
      <c r="B2020" s="5" t="s">
        <v>2103</v>
      </c>
      <c r="C2020" s="5" t="s">
        <v>11</v>
      </c>
      <c r="D2020" s="5" t="s">
        <v>12</v>
      </c>
      <c r="E2020" s="5" t="s">
        <v>963</v>
      </c>
    </row>
    <row r="2021" spans="1:5" x14ac:dyDescent="0.25">
      <c r="A2021" s="5">
        <f>2013</f>
      </c>
      <c r="B2021" s="5" t="s">
        <v>2104</v>
      </c>
      <c r="C2021" s="5" t="s">
        <v>11</v>
      </c>
      <c r="D2021" s="5" t="s">
        <v>12</v>
      </c>
      <c r="E2021" s="5" t="s">
        <v>963</v>
      </c>
    </row>
    <row r="2022" spans="1:5" x14ac:dyDescent="0.25">
      <c r="A2022" s="5">
        <f>2014</f>
      </c>
      <c r="B2022" s="5" t="s">
        <v>2105</v>
      </c>
      <c r="C2022" s="5" t="s">
        <v>11</v>
      </c>
      <c r="D2022" s="5" t="s">
        <v>12</v>
      </c>
      <c r="E2022" s="5" t="s">
        <v>963</v>
      </c>
    </row>
    <row r="2023" spans="1:5" x14ac:dyDescent="0.25">
      <c r="A2023" s="5">
        <f>2015</f>
      </c>
      <c r="B2023" s="5" t="s">
        <v>2106</v>
      </c>
      <c r="C2023" s="5" t="s">
        <v>11</v>
      </c>
      <c r="D2023" s="5" t="s">
        <v>12</v>
      </c>
      <c r="E2023" s="5" t="s">
        <v>963</v>
      </c>
    </row>
    <row r="2024" spans="1:5" x14ac:dyDescent="0.25">
      <c r="A2024" s="5">
        <f>2016</f>
      </c>
      <c r="B2024" s="5" t="s">
        <v>2107</v>
      </c>
      <c r="C2024" s="5" t="s">
        <v>11</v>
      </c>
      <c r="D2024" s="5" t="s">
        <v>12</v>
      </c>
      <c r="E2024" s="5" t="s">
        <v>963</v>
      </c>
    </row>
    <row r="2025" spans="1:5" x14ac:dyDescent="0.25">
      <c r="A2025" s="5">
        <f>2017</f>
      </c>
      <c r="B2025" s="5" t="s">
        <v>2108</v>
      </c>
      <c r="C2025" s="5" t="s">
        <v>11</v>
      </c>
      <c r="D2025" s="5" t="s">
        <v>12</v>
      </c>
      <c r="E2025" s="5" t="s">
        <v>963</v>
      </c>
    </row>
    <row r="2026" spans="1:5" x14ac:dyDescent="0.25">
      <c r="A2026" s="5">
        <f>2018</f>
      </c>
      <c r="B2026" s="5" t="s">
        <v>2109</v>
      </c>
      <c r="C2026" s="5" t="s">
        <v>11</v>
      </c>
      <c r="D2026" s="5" t="s">
        <v>12</v>
      </c>
      <c r="E2026" s="5" t="s">
        <v>963</v>
      </c>
    </row>
    <row r="2027" spans="1:5" x14ac:dyDescent="0.25">
      <c r="A2027" s="5">
        <f>2019</f>
      </c>
      <c r="B2027" s="5" t="s">
        <v>2110</v>
      </c>
      <c r="C2027" s="5" t="s">
        <v>11</v>
      </c>
      <c r="D2027" s="5" t="s">
        <v>12</v>
      </c>
      <c r="E2027" s="5" t="s">
        <v>963</v>
      </c>
    </row>
    <row r="2028" spans="1:5" x14ac:dyDescent="0.25">
      <c r="A2028" s="5">
        <f>2020</f>
      </c>
      <c r="B2028" s="5" t="s">
        <v>2111</v>
      </c>
      <c r="C2028" s="5" t="s">
        <v>11</v>
      </c>
      <c r="D2028" s="5" t="s">
        <v>12</v>
      </c>
      <c r="E2028" s="5" t="s">
        <v>963</v>
      </c>
    </row>
    <row r="2029" spans="1:5" x14ac:dyDescent="0.25">
      <c r="A2029" s="5">
        <f>2021</f>
      </c>
      <c r="B2029" s="5" t="s">
        <v>2112</v>
      </c>
      <c r="C2029" s="5" t="s">
        <v>11</v>
      </c>
      <c r="D2029" s="5" t="s">
        <v>12</v>
      </c>
      <c r="E2029" s="5" t="s">
        <v>963</v>
      </c>
    </row>
    <row r="2030" spans="1:5" x14ac:dyDescent="0.25">
      <c r="A2030" s="5">
        <f>2022</f>
      </c>
      <c r="B2030" s="5" t="s">
        <v>2113</v>
      </c>
      <c r="C2030" s="5" t="s">
        <v>11</v>
      </c>
      <c r="D2030" s="5" t="s">
        <v>12</v>
      </c>
      <c r="E2030" s="5" t="s">
        <v>963</v>
      </c>
    </row>
    <row r="2031" spans="1:5" x14ac:dyDescent="0.25">
      <c r="A2031" s="5">
        <f>2023</f>
      </c>
      <c r="B2031" s="5" t="s">
        <v>2114</v>
      </c>
      <c r="C2031" s="5" t="s">
        <v>11</v>
      </c>
      <c r="D2031" s="5" t="s">
        <v>12</v>
      </c>
      <c r="E2031" s="5" t="s">
        <v>963</v>
      </c>
    </row>
    <row r="2032" spans="1:5" x14ac:dyDescent="0.25">
      <c r="A2032" s="5">
        <f>2024</f>
      </c>
      <c r="B2032" s="5" t="s">
        <v>2115</v>
      </c>
      <c r="C2032" s="5" t="s">
        <v>11</v>
      </c>
      <c r="D2032" s="5" t="s">
        <v>12</v>
      </c>
      <c r="E2032" s="5" t="s">
        <v>963</v>
      </c>
    </row>
    <row r="2033" spans="1:5" x14ac:dyDescent="0.25">
      <c r="A2033" s="5">
        <f>2025</f>
      </c>
      <c r="B2033" s="5" t="s">
        <v>2116</v>
      </c>
      <c r="C2033" s="5" t="s">
        <v>11</v>
      </c>
      <c r="D2033" s="5" t="s">
        <v>12</v>
      </c>
      <c r="E2033" s="5" t="s">
        <v>963</v>
      </c>
    </row>
    <row r="2034" spans="1:5" x14ac:dyDescent="0.25">
      <c r="A2034" s="5">
        <f>2026</f>
      </c>
      <c r="B2034" s="5" t="s">
        <v>2117</v>
      </c>
      <c r="C2034" s="5" t="s">
        <v>11</v>
      </c>
      <c r="D2034" s="5" t="s">
        <v>12</v>
      </c>
      <c r="E2034" s="5" t="s">
        <v>963</v>
      </c>
    </row>
    <row r="2035" spans="1:5" x14ac:dyDescent="0.25">
      <c r="A2035" s="5">
        <f>2027</f>
      </c>
      <c r="B2035" s="5" t="s">
        <v>2118</v>
      </c>
      <c r="C2035" s="5" t="s">
        <v>11</v>
      </c>
      <c r="D2035" s="5" t="s">
        <v>12</v>
      </c>
      <c r="E2035" s="5" t="s">
        <v>963</v>
      </c>
    </row>
    <row r="2036" spans="1:5" x14ac:dyDescent="0.25">
      <c r="A2036" s="5">
        <f>2028</f>
      </c>
      <c r="B2036" s="5" t="s">
        <v>2119</v>
      </c>
      <c r="C2036" s="5" t="s">
        <v>11</v>
      </c>
      <c r="D2036" s="5" t="s">
        <v>12</v>
      </c>
      <c r="E2036" s="5" t="s">
        <v>963</v>
      </c>
    </row>
    <row r="2037" spans="1:5" x14ac:dyDescent="0.25">
      <c r="A2037" s="5">
        <f>2029</f>
      </c>
      <c r="B2037" s="5" t="s">
        <v>2120</v>
      </c>
      <c r="C2037" s="5" t="s">
        <v>11</v>
      </c>
      <c r="D2037" s="5" t="s">
        <v>12</v>
      </c>
      <c r="E2037" s="5" t="s">
        <v>963</v>
      </c>
    </row>
    <row r="2038" spans="1:5" x14ac:dyDescent="0.25">
      <c r="A2038" s="5">
        <f>2030</f>
      </c>
      <c r="B2038" s="5" t="s">
        <v>2121</v>
      </c>
      <c r="C2038" s="5" t="s">
        <v>11</v>
      </c>
      <c r="D2038" s="5" t="s">
        <v>12</v>
      </c>
      <c r="E2038" s="5" t="s">
        <v>963</v>
      </c>
    </row>
    <row r="2039" spans="1:5" x14ac:dyDescent="0.25">
      <c r="A2039" s="5">
        <f>2031</f>
      </c>
      <c r="B2039" s="5" t="s">
        <v>2122</v>
      </c>
      <c r="C2039" s="5" t="s">
        <v>11</v>
      </c>
      <c r="D2039" s="5" t="s">
        <v>12</v>
      </c>
      <c r="E2039" s="5" t="s">
        <v>963</v>
      </c>
    </row>
    <row r="2040" spans="1:5" x14ac:dyDescent="0.25">
      <c r="A2040" s="5">
        <f>2032</f>
      </c>
      <c r="B2040" s="5" t="s">
        <v>2123</v>
      </c>
      <c r="C2040" s="5" t="s">
        <v>11</v>
      </c>
      <c r="D2040" s="5" t="s">
        <v>12</v>
      </c>
      <c r="E2040" s="5" t="s">
        <v>963</v>
      </c>
    </row>
    <row r="2041" spans="1:5" x14ac:dyDescent="0.25">
      <c r="A2041" s="5">
        <f>2033</f>
      </c>
      <c r="B2041" s="5" t="s">
        <v>2124</v>
      </c>
      <c r="C2041" s="5" t="s">
        <v>11</v>
      </c>
      <c r="D2041" s="5" t="s">
        <v>12</v>
      </c>
      <c r="E2041" s="5" t="s">
        <v>963</v>
      </c>
    </row>
    <row r="2042" spans="1:5" x14ac:dyDescent="0.25">
      <c r="A2042" s="5">
        <f>2034</f>
      </c>
      <c r="B2042" s="5" t="s">
        <v>2125</v>
      </c>
      <c r="C2042" s="5" t="s">
        <v>11</v>
      </c>
      <c r="D2042" s="5" t="s">
        <v>12</v>
      </c>
      <c r="E2042" s="5" t="s">
        <v>963</v>
      </c>
    </row>
    <row r="2043" spans="1:5" x14ac:dyDescent="0.25">
      <c r="A2043" s="5">
        <f>2035</f>
      </c>
      <c r="B2043" s="5" t="s">
        <v>2126</v>
      </c>
      <c r="C2043" s="5" t="s">
        <v>11</v>
      </c>
      <c r="D2043" s="5" t="s">
        <v>12</v>
      </c>
      <c r="E2043" s="5" t="s">
        <v>963</v>
      </c>
    </row>
    <row r="2044" spans="1:5" x14ac:dyDescent="0.25">
      <c r="A2044" s="5">
        <f>2036</f>
      </c>
      <c r="B2044" s="5" t="s">
        <v>2127</v>
      </c>
      <c r="C2044" s="5" t="s">
        <v>11</v>
      </c>
      <c r="D2044" s="5" t="s">
        <v>12</v>
      </c>
      <c r="E2044" s="5" t="s">
        <v>963</v>
      </c>
    </row>
    <row r="2045" spans="1:5" x14ac:dyDescent="0.25">
      <c r="A2045" s="5">
        <f>2037</f>
      </c>
      <c r="B2045" s="5" t="s">
        <v>2128</v>
      </c>
      <c r="C2045" s="5" t="s">
        <v>11</v>
      </c>
      <c r="D2045" s="5" t="s">
        <v>12</v>
      </c>
      <c r="E2045" s="5" t="s">
        <v>963</v>
      </c>
    </row>
    <row r="2046" spans="1:5" x14ac:dyDescent="0.25">
      <c r="A2046" s="5">
        <f>2038</f>
      </c>
      <c r="B2046" s="5" t="s">
        <v>2129</v>
      </c>
      <c r="C2046" s="5" t="s">
        <v>11</v>
      </c>
      <c r="D2046" s="5" t="s">
        <v>12</v>
      </c>
      <c r="E2046" s="5" t="s">
        <v>963</v>
      </c>
    </row>
    <row r="2047" spans="1:5" x14ac:dyDescent="0.25">
      <c r="A2047" s="5">
        <f>2039</f>
      </c>
      <c r="B2047" s="5" t="s">
        <v>2130</v>
      </c>
      <c r="C2047" s="5" t="s">
        <v>11</v>
      </c>
      <c r="D2047" s="5" t="s">
        <v>12</v>
      </c>
      <c r="E2047" s="5" t="s">
        <v>963</v>
      </c>
    </row>
    <row r="2048" spans="1:5" x14ac:dyDescent="0.25">
      <c r="A2048" s="5">
        <f>2040</f>
      </c>
      <c r="B2048" s="5" t="s">
        <v>2131</v>
      </c>
      <c r="C2048" s="5" t="s">
        <v>11</v>
      </c>
      <c r="D2048" s="5" t="s">
        <v>12</v>
      </c>
      <c r="E2048" s="5" t="s">
        <v>963</v>
      </c>
    </row>
    <row r="2049" spans="1:5" x14ac:dyDescent="0.25">
      <c r="A2049" s="5">
        <f>2041</f>
      </c>
      <c r="B2049" s="5" t="s">
        <v>2132</v>
      </c>
      <c r="C2049" s="5" t="s">
        <v>11</v>
      </c>
      <c r="D2049" s="5" t="s">
        <v>12</v>
      </c>
      <c r="E2049" s="5" t="s">
        <v>963</v>
      </c>
    </row>
    <row r="2050" spans="1:5" x14ac:dyDescent="0.25">
      <c r="A2050" s="5">
        <f>2042</f>
      </c>
      <c r="B2050" s="5" t="s">
        <v>2133</v>
      </c>
      <c r="C2050" s="5" t="s">
        <v>11</v>
      </c>
      <c r="D2050" s="5" t="s">
        <v>12</v>
      </c>
      <c r="E2050" s="5" t="s">
        <v>963</v>
      </c>
    </row>
    <row r="2051" spans="1:5" x14ac:dyDescent="0.25">
      <c r="A2051" s="5">
        <f>2043</f>
      </c>
      <c r="B2051" s="5" t="s">
        <v>2134</v>
      </c>
      <c r="C2051" s="5" t="s">
        <v>11</v>
      </c>
      <c r="D2051" s="5" t="s">
        <v>12</v>
      </c>
      <c r="E2051" s="5" t="s">
        <v>963</v>
      </c>
    </row>
    <row r="2052" spans="1:5" x14ac:dyDescent="0.25">
      <c r="A2052" s="5">
        <f>2044</f>
      </c>
      <c r="B2052" s="5" t="s">
        <v>2135</v>
      </c>
      <c r="C2052" s="5" t="s">
        <v>11</v>
      </c>
      <c r="D2052" s="5" t="s">
        <v>12</v>
      </c>
      <c r="E2052" s="5" t="s">
        <v>963</v>
      </c>
    </row>
    <row r="2053" spans="1:5" x14ac:dyDescent="0.25">
      <c r="A2053" s="5">
        <f>2045</f>
      </c>
      <c r="B2053" s="5" t="s">
        <v>2136</v>
      </c>
      <c r="C2053" s="5" t="s">
        <v>11</v>
      </c>
      <c r="D2053" s="5" t="s">
        <v>12</v>
      </c>
      <c r="E2053" s="5" t="s">
        <v>963</v>
      </c>
    </row>
    <row r="2054" spans="1:5" x14ac:dyDescent="0.25">
      <c r="A2054" s="5">
        <f>2046</f>
      </c>
      <c r="B2054" s="5" t="s">
        <v>2137</v>
      </c>
      <c r="C2054" s="5" t="s">
        <v>11</v>
      </c>
      <c r="D2054" s="5" t="s">
        <v>12</v>
      </c>
      <c r="E2054" s="5" t="s">
        <v>963</v>
      </c>
    </row>
    <row r="2055" spans="1:5" x14ac:dyDescent="0.25">
      <c r="A2055" s="5">
        <f>2047</f>
      </c>
      <c r="B2055" s="5" t="s">
        <v>2138</v>
      </c>
      <c r="C2055" s="5" t="s">
        <v>11</v>
      </c>
      <c r="D2055" s="5" t="s">
        <v>12</v>
      </c>
      <c r="E2055" s="5" t="s">
        <v>963</v>
      </c>
    </row>
    <row r="2056" spans="1:5" x14ac:dyDescent="0.25">
      <c r="A2056" s="5">
        <f>2048</f>
      </c>
      <c r="B2056" s="5" t="s">
        <v>2139</v>
      </c>
      <c r="C2056" s="5" t="s">
        <v>11</v>
      </c>
      <c r="D2056" s="5" t="s">
        <v>12</v>
      </c>
      <c r="E2056" s="5" t="s">
        <v>963</v>
      </c>
    </row>
    <row r="2057" spans="1:5" x14ac:dyDescent="0.25">
      <c r="A2057" s="5">
        <f>2049</f>
      </c>
      <c r="B2057" s="5" t="s">
        <v>2140</v>
      </c>
      <c r="C2057" s="5" t="s">
        <v>11</v>
      </c>
      <c r="D2057" s="5" t="s">
        <v>12</v>
      </c>
      <c r="E2057" s="5" t="s">
        <v>963</v>
      </c>
    </row>
    <row r="2058" spans="1:5" x14ac:dyDescent="0.25">
      <c r="A2058" s="5">
        <f>2050</f>
      </c>
      <c r="B2058" s="5" t="s">
        <v>2141</v>
      </c>
      <c r="C2058" s="5" t="s">
        <v>11</v>
      </c>
      <c r="D2058" s="5" t="s">
        <v>12</v>
      </c>
      <c r="E2058" s="5" t="s">
        <v>963</v>
      </c>
    </row>
    <row r="2059" spans="1:5" x14ac:dyDescent="0.25">
      <c r="A2059" s="5">
        <f>2051</f>
      </c>
      <c r="B2059" s="5" t="s">
        <v>2142</v>
      </c>
      <c r="C2059" s="5" t="s">
        <v>11</v>
      </c>
      <c r="D2059" s="5" t="s">
        <v>12</v>
      </c>
      <c r="E2059" s="5" t="s">
        <v>963</v>
      </c>
    </row>
    <row r="2060" spans="1:5" x14ac:dyDescent="0.25">
      <c r="A2060" s="5">
        <f>2052</f>
      </c>
      <c r="B2060" s="5" t="s">
        <v>2143</v>
      </c>
      <c r="C2060" s="5" t="s">
        <v>11</v>
      </c>
      <c r="D2060" s="5" t="s">
        <v>12</v>
      </c>
      <c r="E2060" s="5" t="s">
        <v>963</v>
      </c>
    </row>
    <row r="2061" spans="1:5" x14ac:dyDescent="0.25">
      <c r="A2061" s="5">
        <f>2053</f>
      </c>
      <c r="B2061" s="5" t="s">
        <v>2144</v>
      </c>
      <c r="C2061" s="5" t="s">
        <v>11</v>
      </c>
      <c r="D2061" s="5" t="s">
        <v>12</v>
      </c>
      <c r="E2061" s="5" t="s">
        <v>963</v>
      </c>
    </row>
    <row r="2062" spans="1:5" x14ac:dyDescent="0.25">
      <c r="A2062" s="5">
        <f>2054</f>
      </c>
      <c r="B2062" s="5" t="s">
        <v>2145</v>
      </c>
      <c r="C2062" s="5" t="s">
        <v>11</v>
      </c>
      <c r="D2062" s="5" t="s">
        <v>12</v>
      </c>
      <c r="E2062" s="5" t="s">
        <v>963</v>
      </c>
    </row>
    <row r="2063" spans="1:5" x14ac:dyDescent="0.25">
      <c r="A2063" s="5">
        <f>2055</f>
      </c>
      <c r="B2063" s="5" t="s">
        <v>2146</v>
      </c>
      <c r="C2063" s="5" t="s">
        <v>11</v>
      </c>
      <c r="D2063" s="5" t="s">
        <v>12</v>
      </c>
      <c r="E2063" s="5" t="s">
        <v>963</v>
      </c>
    </row>
    <row r="2064" spans="1:5" x14ac:dyDescent="0.25">
      <c r="A2064" s="5">
        <f>2056</f>
      </c>
      <c r="B2064" s="5" t="s">
        <v>2147</v>
      </c>
      <c r="C2064" s="5" t="s">
        <v>11</v>
      </c>
      <c r="D2064" s="5" t="s">
        <v>12</v>
      </c>
      <c r="E2064" s="5" t="s">
        <v>963</v>
      </c>
    </row>
    <row r="2065" spans="1:5" x14ac:dyDescent="0.25">
      <c r="A2065" s="5">
        <f>2057</f>
      </c>
      <c r="B2065" s="5" t="s">
        <v>2148</v>
      </c>
      <c r="C2065" s="5" t="s">
        <v>11</v>
      </c>
      <c r="D2065" s="5" t="s">
        <v>12</v>
      </c>
      <c r="E2065" s="5" t="s">
        <v>963</v>
      </c>
    </row>
    <row r="2066" spans="1:5" x14ac:dyDescent="0.25">
      <c r="A2066" s="5">
        <f>2058</f>
      </c>
      <c r="B2066" s="5" t="s">
        <v>2149</v>
      </c>
      <c r="C2066" s="5" t="s">
        <v>11</v>
      </c>
      <c r="D2066" s="5" t="s">
        <v>12</v>
      </c>
      <c r="E2066" s="5" t="s">
        <v>963</v>
      </c>
    </row>
    <row r="2067" spans="1:5" x14ac:dyDescent="0.25">
      <c r="A2067" s="5">
        <f>2059</f>
      </c>
      <c r="B2067" s="5" t="s">
        <v>2150</v>
      </c>
      <c r="C2067" s="5" t="s">
        <v>11</v>
      </c>
      <c r="D2067" s="5" t="s">
        <v>12</v>
      </c>
      <c r="E2067" s="5" t="s">
        <v>963</v>
      </c>
    </row>
    <row r="2068" spans="1:5" x14ac:dyDescent="0.25">
      <c r="A2068" s="5">
        <f>2060</f>
      </c>
      <c r="B2068" s="5" t="s">
        <v>2151</v>
      </c>
      <c r="C2068" s="5" t="s">
        <v>11</v>
      </c>
      <c r="D2068" s="5" t="s">
        <v>12</v>
      </c>
      <c r="E2068" s="5" t="s">
        <v>963</v>
      </c>
    </row>
    <row r="2069" spans="1:5" x14ac:dyDescent="0.25">
      <c r="A2069" s="5">
        <f>2061</f>
      </c>
      <c r="B2069" s="5" t="s">
        <v>2152</v>
      </c>
      <c r="C2069" s="5" t="s">
        <v>11</v>
      </c>
      <c r="D2069" s="5" t="s">
        <v>12</v>
      </c>
      <c r="E2069" s="5" t="s">
        <v>963</v>
      </c>
    </row>
    <row r="2070" spans="1:5" x14ac:dyDescent="0.25">
      <c r="A2070" s="5">
        <f>2062</f>
      </c>
      <c r="B2070" s="5" t="s">
        <v>2153</v>
      </c>
      <c r="C2070" s="5" t="s">
        <v>11</v>
      </c>
      <c r="D2070" s="5" t="s">
        <v>12</v>
      </c>
      <c r="E2070" s="5" t="s">
        <v>963</v>
      </c>
    </row>
    <row r="2071" spans="1:5" x14ac:dyDescent="0.25">
      <c r="A2071" s="5">
        <f>2063</f>
      </c>
      <c r="B2071" s="5" t="s">
        <v>2154</v>
      </c>
      <c r="C2071" s="5" t="s">
        <v>11</v>
      </c>
      <c r="D2071" s="5" t="s">
        <v>12</v>
      </c>
      <c r="E2071" s="5" t="s">
        <v>963</v>
      </c>
    </row>
    <row r="2072" spans="1:5" x14ac:dyDescent="0.25">
      <c r="A2072" s="5">
        <f>2064</f>
      </c>
      <c r="B2072" s="5" t="s">
        <v>2155</v>
      </c>
      <c r="C2072" s="5" t="s">
        <v>11</v>
      </c>
      <c r="D2072" s="5" t="s">
        <v>12</v>
      </c>
      <c r="E2072" s="5" t="s">
        <v>963</v>
      </c>
    </row>
    <row r="2073" spans="1:5" x14ac:dyDescent="0.25">
      <c r="A2073" s="5">
        <f>2065</f>
      </c>
      <c r="B2073" s="5" t="s">
        <v>2156</v>
      </c>
      <c r="C2073" s="5" t="s">
        <v>11</v>
      </c>
      <c r="D2073" s="5" t="s">
        <v>12</v>
      </c>
      <c r="E2073" s="5" t="s">
        <v>963</v>
      </c>
    </row>
    <row r="2074" spans="1:5" x14ac:dyDescent="0.25">
      <c r="A2074" s="5">
        <f>2066</f>
      </c>
      <c r="B2074" s="5" t="s">
        <v>2157</v>
      </c>
      <c r="C2074" s="5" t="s">
        <v>11</v>
      </c>
      <c r="D2074" s="5" t="s">
        <v>12</v>
      </c>
      <c r="E2074" s="5" t="s">
        <v>963</v>
      </c>
    </row>
    <row r="2075" spans="1:5" x14ac:dyDescent="0.25">
      <c r="A2075" s="5">
        <f>2067</f>
      </c>
      <c r="B2075" s="5" t="s">
        <v>2158</v>
      </c>
      <c r="C2075" s="5" t="s">
        <v>11</v>
      </c>
      <c r="D2075" s="5" t="s">
        <v>12</v>
      </c>
      <c r="E2075" s="5" t="s">
        <v>963</v>
      </c>
    </row>
    <row r="2076" spans="1:5" x14ac:dyDescent="0.25">
      <c r="A2076" s="5">
        <f>2068</f>
      </c>
      <c r="B2076" s="5" t="s">
        <v>2159</v>
      </c>
      <c r="C2076" s="5" t="s">
        <v>11</v>
      </c>
      <c r="D2076" s="5" t="s">
        <v>12</v>
      </c>
      <c r="E2076" s="5" t="s">
        <v>963</v>
      </c>
    </row>
    <row r="2077" spans="1:5" x14ac:dyDescent="0.25">
      <c r="A2077" s="5">
        <f>2069</f>
      </c>
      <c r="B2077" s="5" t="s">
        <v>2160</v>
      </c>
      <c r="C2077" s="5" t="s">
        <v>11</v>
      </c>
      <c r="D2077" s="5" t="s">
        <v>12</v>
      </c>
      <c r="E2077" s="5" t="s">
        <v>963</v>
      </c>
    </row>
    <row r="2078" spans="1:5" x14ac:dyDescent="0.25">
      <c r="A2078" s="5">
        <f>2070</f>
      </c>
      <c r="B2078" s="5" t="s">
        <v>2161</v>
      </c>
      <c r="C2078" s="5" t="s">
        <v>11</v>
      </c>
      <c r="D2078" s="5" t="s">
        <v>12</v>
      </c>
      <c r="E2078" s="5" t="s">
        <v>963</v>
      </c>
    </row>
    <row r="2079" spans="1:5" x14ac:dyDescent="0.25">
      <c r="A2079" s="5">
        <f>2071</f>
      </c>
      <c r="B2079" s="5" t="s">
        <v>2162</v>
      </c>
      <c r="C2079" s="5" t="s">
        <v>11</v>
      </c>
      <c r="D2079" s="5" t="s">
        <v>12</v>
      </c>
      <c r="E2079" s="5" t="s">
        <v>963</v>
      </c>
    </row>
    <row r="2080" spans="1:5" x14ac:dyDescent="0.25">
      <c r="A2080" s="5">
        <f>2072</f>
      </c>
      <c r="B2080" s="5" t="s">
        <v>2163</v>
      </c>
      <c r="C2080" s="5" t="s">
        <v>11</v>
      </c>
      <c r="D2080" s="5" t="s">
        <v>12</v>
      </c>
      <c r="E2080" s="5" t="s">
        <v>963</v>
      </c>
    </row>
    <row r="2081" spans="1:5" x14ac:dyDescent="0.25">
      <c r="A2081" s="5">
        <f>2073</f>
      </c>
      <c r="B2081" s="5" t="s">
        <v>2164</v>
      </c>
      <c r="C2081" s="5" t="s">
        <v>11</v>
      </c>
      <c r="D2081" s="5" t="s">
        <v>12</v>
      </c>
      <c r="E2081" s="5" t="s">
        <v>963</v>
      </c>
    </row>
    <row r="2082" spans="1:5" x14ac:dyDescent="0.25">
      <c r="A2082" s="5">
        <f>2074</f>
      </c>
      <c r="B2082" s="5" t="s">
        <v>2165</v>
      </c>
      <c r="C2082" s="5" t="s">
        <v>11</v>
      </c>
      <c r="D2082" s="5" t="s">
        <v>12</v>
      </c>
      <c r="E2082" s="5" t="s">
        <v>963</v>
      </c>
    </row>
    <row r="2083" spans="1:5" x14ac:dyDescent="0.25">
      <c r="A2083" s="5">
        <f>2075</f>
      </c>
      <c r="B2083" s="5" t="s">
        <v>2166</v>
      </c>
      <c r="C2083" s="5" t="s">
        <v>11</v>
      </c>
      <c r="D2083" s="5" t="s">
        <v>12</v>
      </c>
      <c r="E2083" s="5" t="s">
        <v>963</v>
      </c>
    </row>
    <row r="2084" spans="1:5" x14ac:dyDescent="0.25">
      <c r="A2084" s="5">
        <f>2076</f>
      </c>
      <c r="B2084" s="5" t="s">
        <v>2167</v>
      </c>
      <c r="C2084" s="5" t="s">
        <v>11</v>
      </c>
      <c r="D2084" s="5" t="s">
        <v>12</v>
      </c>
      <c r="E2084" s="5" t="s">
        <v>963</v>
      </c>
    </row>
    <row r="2085" spans="1:5" x14ac:dyDescent="0.25">
      <c r="A2085" s="5">
        <f>2077</f>
      </c>
      <c r="B2085" s="5" t="s">
        <v>2168</v>
      </c>
      <c r="C2085" s="5" t="s">
        <v>11</v>
      </c>
      <c r="D2085" s="5" t="s">
        <v>12</v>
      </c>
      <c r="E2085" s="5" t="s">
        <v>963</v>
      </c>
    </row>
    <row r="2086" spans="1:5" x14ac:dyDescent="0.25">
      <c r="A2086" s="5">
        <f>2078</f>
      </c>
      <c r="B2086" s="5" t="s">
        <v>2169</v>
      </c>
      <c r="C2086" s="5" t="s">
        <v>11</v>
      </c>
      <c r="D2086" s="5" t="s">
        <v>12</v>
      </c>
      <c r="E2086" s="5" t="s">
        <v>963</v>
      </c>
    </row>
    <row r="2087" spans="1:5" x14ac:dyDescent="0.25">
      <c r="A2087" s="5">
        <f>2079</f>
      </c>
      <c r="B2087" s="5" t="s">
        <v>2170</v>
      </c>
      <c r="C2087" s="5" t="s">
        <v>11</v>
      </c>
      <c r="D2087" s="5" t="s">
        <v>12</v>
      </c>
      <c r="E2087" s="5" t="s">
        <v>963</v>
      </c>
    </row>
    <row r="2088" spans="1:5" x14ac:dyDescent="0.25">
      <c r="A2088" s="5">
        <f>2080</f>
      </c>
      <c r="B2088" s="5" t="s">
        <v>2171</v>
      </c>
      <c r="C2088" s="5" t="s">
        <v>11</v>
      </c>
      <c r="D2088" s="5" t="s">
        <v>12</v>
      </c>
      <c r="E2088" s="5" t="s">
        <v>963</v>
      </c>
    </row>
    <row r="2089" spans="1:5" x14ac:dyDescent="0.25">
      <c r="A2089" s="5">
        <f>2081</f>
      </c>
      <c r="B2089" s="5" t="s">
        <v>2172</v>
      </c>
      <c r="C2089" s="5" t="s">
        <v>11</v>
      </c>
      <c r="D2089" s="5" t="s">
        <v>12</v>
      </c>
      <c r="E2089" s="5" t="s">
        <v>963</v>
      </c>
    </row>
    <row r="2090" spans="1:5" x14ac:dyDescent="0.25">
      <c r="A2090" s="5">
        <f>2082</f>
      </c>
      <c r="B2090" s="5" t="s">
        <v>2173</v>
      </c>
      <c r="C2090" s="5" t="s">
        <v>11</v>
      </c>
      <c r="D2090" s="5" t="s">
        <v>12</v>
      </c>
      <c r="E2090" s="5" t="s">
        <v>963</v>
      </c>
    </row>
    <row r="2091" spans="1:5" x14ac:dyDescent="0.25">
      <c r="A2091" s="5">
        <f>2083</f>
      </c>
      <c r="B2091" s="5" t="s">
        <v>2174</v>
      </c>
      <c r="C2091" s="5" t="s">
        <v>11</v>
      </c>
      <c r="D2091" s="5" t="s">
        <v>12</v>
      </c>
      <c r="E2091" s="5" t="s">
        <v>963</v>
      </c>
    </row>
    <row r="2092" spans="1:5" x14ac:dyDescent="0.25">
      <c r="A2092" s="5">
        <f>2084</f>
      </c>
      <c r="B2092" s="5" t="s">
        <v>2175</v>
      </c>
      <c r="C2092" s="5" t="s">
        <v>11</v>
      </c>
      <c r="D2092" s="5" t="s">
        <v>12</v>
      </c>
      <c r="E2092" s="5" t="s">
        <v>963</v>
      </c>
    </row>
    <row r="2093" spans="1:5" x14ac:dyDescent="0.25">
      <c r="A2093" s="5">
        <f>2085</f>
      </c>
      <c r="B2093" s="5" t="s">
        <v>2176</v>
      </c>
      <c r="C2093" s="5" t="s">
        <v>11</v>
      </c>
      <c r="D2093" s="5" t="s">
        <v>12</v>
      </c>
      <c r="E2093" s="5" t="s">
        <v>963</v>
      </c>
    </row>
    <row r="2094" spans="1:5" x14ac:dyDescent="0.25">
      <c r="A2094" s="5">
        <f>2086</f>
      </c>
      <c r="B2094" s="5" t="s">
        <v>2177</v>
      </c>
      <c r="C2094" s="5" t="s">
        <v>11</v>
      </c>
      <c r="D2094" s="5" t="s">
        <v>12</v>
      </c>
      <c r="E2094" s="5" t="s">
        <v>963</v>
      </c>
    </row>
    <row r="2095" spans="1:5" x14ac:dyDescent="0.25">
      <c r="A2095" s="5">
        <f>2087</f>
      </c>
      <c r="B2095" s="5" t="s">
        <v>2178</v>
      </c>
      <c r="C2095" s="5" t="s">
        <v>11</v>
      </c>
      <c r="D2095" s="5" t="s">
        <v>12</v>
      </c>
      <c r="E2095" s="5" t="s">
        <v>963</v>
      </c>
    </row>
    <row r="2096" spans="1:5" x14ac:dyDescent="0.25">
      <c r="A2096" s="5">
        <f>2088</f>
      </c>
      <c r="B2096" s="5" t="s">
        <v>2179</v>
      </c>
      <c r="C2096" s="5" t="s">
        <v>11</v>
      </c>
      <c r="D2096" s="5" t="s">
        <v>12</v>
      </c>
      <c r="E2096" s="5" t="s">
        <v>963</v>
      </c>
    </row>
    <row r="2097" spans="1:5" x14ac:dyDescent="0.25">
      <c r="A2097" s="5">
        <f>2089</f>
      </c>
      <c r="B2097" s="5" t="s">
        <v>2180</v>
      </c>
      <c r="C2097" s="5" t="s">
        <v>11</v>
      </c>
      <c r="D2097" s="5" t="s">
        <v>12</v>
      </c>
      <c r="E2097" s="5" t="s">
        <v>963</v>
      </c>
    </row>
    <row r="2098" spans="1:5" x14ac:dyDescent="0.25">
      <c r="A2098" s="5">
        <f>2090</f>
      </c>
      <c r="B2098" s="5" t="s">
        <v>2181</v>
      </c>
      <c r="C2098" s="5" t="s">
        <v>11</v>
      </c>
      <c r="D2098" s="5" t="s">
        <v>12</v>
      </c>
      <c r="E2098" s="5" t="s">
        <v>963</v>
      </c>
    </row>
    <row r="2099" spans="1:5" x14ac:dyDescent="0.25">
      <c r="A2099" s="5">
        <f>2091</f>
      </c>
      <c r="B2099" s="5" t="s">
        <v>2182</v>
      </c>
      <c r="C2099" s="5" t="s">
        <v>11</v>
      </c>
      <c r="D2099" s="5" t="s">
        <v>12</v>
      </c>
      <c r="E2099" s="5" t="s">
        <v>963</v>
      </c>
    </row>
    <row r="2100" spans="1:5" x14ac:dyDescent="0.25">
      <c r="A2100" s="5">
        <f>2092</f>
      </c>
      <c r="B2100" s="5" t="s">
        <v>2183</v>
      </c>
      <c r="C2100" s="5" t="s">
        <v>11</v>
      </c>
      <c r="D2100" s="5" t="s">
        <v>12</v>
      </c>
      <c r="E2100" s="5" t="s">
        <v>963</v>
      </c>
    </row>
    <row r="2101" spans="1:5" x14ac:dyDescent="0.25">
      <c r="A2101" s="5">
        <f>2093</f>
      </c>
      <c r="B2101" s="5" t="s">
        <v>2184</v>
      </c>
      <c r="C2101" s="5" t="s">
        <v>11</v>
      </c>
      <c r="D2101" s="5" t="s">
        <v>12</v>
      </c>
      <c r="E2101" s="5" t="s">
        <v>963</v>
      </c>
    </row>
    <row r="2102" spans="1:5" x14ac:dyDescent="0.25">
      <c r="A2102" s="5">
        <f>2094</f>
      </c>
      <c r="B2102" s="5" t="s">
        <v>2185</v>
      </c>
      <c r="C2102" s="5" t="s">
        <v>11</v>
      </c>
      <c r="D2102" s="5" t="s">
        <v>12</v>
      </c>
      <c r="E2102" s="5" t="s">
        <v>963</v>
      </c>
    </row>
    <row r="2103" spans="1:5" x14ac:dyDescent="0.25">
      <c r="A2103" s="5">
        <f>2095</f>
      </c>
      <c r="B2103" s="5" t="s">
        <v>2186</v>
      </c>
      <c r="C2103" s="5" t="s">
        <v>11</v>
      </c>
      <c r="D2103" s="5" t="s">
        <v>12</v>
      </c>
      <c r="E2103" s="5" t="s">
        <v>963</v>
      </c>
    </row>
    <row r="2104" spans="1:5" x14ac:dyDescent="0.25">
      <c r="A2104" s="5">
        <f>2096</f>
      </c>
      <c r="B2104" s="5" t="s">
        <v>2187</v>
      </c>
      <c r="C2104" s="5" t="s">
        <v>11</v>
      </c>
      <c r="D2104" s="5" t="s">
        <v>12</v>
      </c>
      <c r="E2104" s="5" t="s">
        <v>963</v>
      </c>
    </row>
    <row r="2105" spans="1:5" x14ac:dyDescent="0.25">
      <c r="A2105" s="5">
        <f>2097</f>
      </c>
      <c r="B2105" s="5" t="s">
        <v>2188</v>
      </c>
      <c r="C2105" s="5" t="s">
        <v>11</v>
      </c>
      <c r="D2105" s="5" t="s">
        <v>12</v>
      </c>
      <c r="E2105" s="5" t="s">
        <v>963</v>
      </c>
    </row>
    <row r="2106" spans="1:5" x14ac:dyDescent="0.25">
      <c r="A2106" s="5">
        <f>2098</f>
      </c>
      <c r="B2106" s="5" t="s">
        <v>2189</v>
      </c>
      <c r="C2106" s="5" t="s">
        <v>11</v>
      </c>
      <c r="D2106" s="5" t="s">
        <v>12</v>
      </c>
      <c r="E2106" s="5" t="s">
        <v>963</v>
      </c>
    </row>
    <row r="2107" spans="1:5" x14ac:dyDescent="0.25">
      <c r="A2107" s="5">
        <f>2099</f>
      </c>
      <c r="B2107" s="5" t="s">
        <v>2190</v>
      </c>
      <c r="C2107" s="5" t="s">
        <v>11</v>
      </c>
      <c r="D2107" s="5" t="s">
        <v>12</v>
      </c>
      <c r="E2107" s="5" t="s">
        <v>963</v>
      </c>
    </row>
    <row r="2108" spans="1:5" x14ac:dyDescent="0.25">
      <c r="A2108" s="5">
        <f>2100</f>
      </c>
      <c r="B2108" s="5" t="s">
        <v>2191</v>
      </c>
      <c r="C2108" s="5" t="s">
        <v>11</v>
      </c>
      <c r="D2108" s="5" t="s">
        <v>12</v>
      </c>
      <c r="E2108" s="5" t="s">
        <v>963</v>
      </c>
    </row>
    <row r="2109" spans="1:5" x14ac:dyDescent="0.25">
      <c r="A2109" s="5">
        <f>2101</f>
      </c>
      <c r="B2109" s="5" t="s">
        <v>2192</v>
      </c>
      <c r="C2109" s="5" t="s">
        <v>11</v>
      </c>
      <c r="D2109" s="5" t="s">
        <v>12</v>
      </c>
      <c r="E2109" s="5" t="s">
        <v>963</v>
      </c>
    </row>
    <row r="2110" spans="1:5" x14ac:dyDescent="0.25">
      <c r="A2110" s="5">
        <f>2102</f>
      </c>
      <c r="B2110" s="5" t="s">
        <v>2193</v>
      </c>
      <c r="C2110" s="5" t="s">
        <v>11</v>
      </c>
      <c r="D2110" s="5" t="s">
        <v>12</v>
      </c>
      <c r="E2110" s="5" t="s">
        <v>963</v>
      </c>
    </row>
    <row r="2111" spans="1:5" x14ac:dyDescent="0.25">
      <c r="A2111" s="5">
        <f>2103</f>
      </c>
      <c r="B2111" s="5" t="s">
        <v>2194</v>
      </c>
      <c r="C2111" s="5" t="s">
        <v>11</v>
      </c>
      <c r="D2111" s="5" t="s">
        <v>12</v>
      </c>
      <c r="E2111" s="5" t="s">
        <v>963</v>
      </c>
    </row>
    <row r="2112" spans="1:5" x14ac:dyDescent="0.25">
      <c r="A2112" s="5">
        <f>2104</f>
      </c>
      <c r="B2112" s="5" t="s">
        <v>2195</v>
      </c>
      <c r="C2112" s="5" t="s">
        <v>11</v>
      </c>
      <c r="D2112" s="5" t="s">
        <v>12</v>
      </c>
      <c r="E2112" s="5" t="s">
        <v>963</v>
      </c>
    </row>
    <row r="2113" spans="1:5" x14ac:dyDescent="0.25">
      <c r="A2113" s="5">
        <f>2105</f>
      </c>
      <c r="B2113" s="5" t="s">
        <v>2196</v>
      </c>
      <c r="C2113" s="5" t="s">
        <v>11</v>
      </c>
      <c r="D2113" s="5" t="s">
        <v>12</v>
      </c>
      <c r="E2113" s="5" t="s">
        <v>963</v>
      </c>
    </row>
    <row r="2114" spans="1:5" x14ac:dyDescent="0.25">
      <c r="A2114" s="5">
        <f>2106</f>
      </c>
      <c r="B2114" s="5" t="s">
        <v>2197</v>
      </c>
      <c r="C2114" s="5" t="s">
        <v>11</v>
      </c>
      <c r="D2114" s="5" t="s">
        <v>12</v>
      </c>
      <c r="E2114" s="5" t="s">
        <v>963</v>
      </c>
    </row>
    <row r="2115" spans="1:5" x14ac:dyDescent="0.25">
      <c r="A2115" s="5">
        <f>2107</f>
      </c>
      <c r="B2115" s="5" t="s">
        <v>2198</v>
      </c>
      <c r="C2115" s="5" t="s">
        <v>11</v>
      </c>
      <c r="D2115" s="5" t="s">
        <v>12</v>
      </c>
      <c r="E2115" s="5" t="s">
        <v>963</v>
      </c>
    </row>
    <row r="2116" spans="1:5" x14ac:dyDescent="0.25">
      <c r="A2116" s="5">
        <f>2108</f>
      </c>
      <c r="B2116" s="5" t="s">
        <v>2199</v>
      </c>
      <c r="C2116" s="5" t="s">
        <v>11</v>
      </c>
      <c r="D2116" s="5" t="s">
        <v>12</v>
      </c>
      <c r="E2116" s="5" t="s">
        <v>963</v>
      </c>
    </row>
    <row r="2117" spans="1:5" x14ac:dyDescent="0.25">
      <c r="A2117" s="5">
        <f>2109</f>
      </c>
      <c r="B2117" s="5" t="s">
        <v>2200</v>
      </c>
      <c r="C2117" s="5" t="s">
        <v>11</v>
      </c>
      <c r="D2117" s="5" t="s">
        <v>12</v>
      </c>
      <c r="E2117" s="5" t="s">
        <v>963</v>
      </c>
    </row>
    <row r="2118" spans="1:5" x14ac:dyDescent="0.25">
      <c r="A2118" s="5">
        <f>2110</f>
      </c>
      <c r="B2118" s="5" t="s">
        <v>2201</v>
      </c>
      <c r="C2118" s="5" t="s">
        <v>11</v>
      </c>
      <c r="D2118" s="5" t="s">
        <v>12</v>
      </c>
      <c r="E2118" s="5" t="s">
        <v>963</v>
      </c>
    </row>
    <row r="2119" spans="1:5" x14ac:dyDescent="0.25">
      <c r="A2119" s="5">
        <f>2111</f>
      </c>
      <c r="B2119" s="5" t="s">
        <v>2202</v>
      </c>
      <c r="C2119" s="5" t="s">
        <v>11</v>
      </c>
      <c r="D2119" s="5" t="s">
        <v>12</v>
      </c>
      <c r="E2119" s="5" t="s">
        <v>963</v>
      </c>
    </row>
    <row r="2120" spans="1:5" x14ac:dyDescent="0.25">
      <c r="A2120" s="5">
        <f>2112</f>
      </c>
      <c r="B2120" s="5" t="s">
        <v>2203</v>
      </c>
      <c r="C2120" s="5" t="s">
        <v>11</v>
      </c>
      <c r="D2120" s="5" t="s">
        <v>12</v>
      </c>
      <c r="E2120" s="5" t="s">
        <v>963</v>
      </c>
    </row>
    <row r="2121" spans="1:5" x14ac:dyDescent="0.25">
      <c r="A2121" s="5">
        <f>2113</f>
      </c>
      <c r="B2121" s="5" t="s">
        <v>2204</v>
      </c>
      <c r="C2121" s="5" t="s">
        <v>11</v>
      </c>
      <c r="D2121" s="5" t="s">
        <v>12</v>
      </c>
      <c r="E2121" s="5" t="s">
        <v>963</v>
      </c>
    </row>
    <row r="2122" spans="1:5" x14ac:dyDescent="0.25">
      <c r="A2122" s="5">
        <f>2114</f>
      </c>
      <c r="B2122" s="5" t="s">
        <v>2205</v>
      </c>
      <c r="C2122" s="5" t="s">
        <v>11</v>
      </c>
      <c r="D2122" s="5" t="s">
        <v>12</v>
      </c>
      <c r="E2122" s="5" t="s">
        <v>963</v>
      </c>
    </row>
    <row r="2123" spans="1:5" x14ac:dyDescent="0.25">
      <c r="A2123" s="5">
        <f>2115</f>
      </c>
      <c r="B2123" s="5" t="s">
        <v>2206</v>
      </c>
      <c r="C2123" s="5" t="s">
        <v>11</v>
      </c>
      <c r="D2123" s="5" t="s">
        <v>12</v>
      </c>
      <c r="E2123" s="5" t="s">
        <v>963</v>
      </c>
    </row>
    <row r="2124" spans="1:5" x14ac:dyDescent="0.25">
      <c r="A2124" s="5">
        <f>2116</f>
      </c>
      <c r="B2124" s="5" t="s">
        <v>2207</v>
      </c>
      <c r="C2124" s="5" t="s">
        <v>11</v>
      </c>
      <c r="D2124" s="5" t="s">
        <v>12</v>
      </c>
      <c r="E2124" s="5" t="s">
        <v>963</v>
      </c>
    </row>
    <row r="2125" spans="1:5" x14ac:dyDescent="0.25">
      <c r="A2125" s="5">
        <f>2117</f>
      </c>
      <c r="B2125" s="5" t="s">
        <v>2208</v>
      </c>
      <c r="C2125" s="5" t="s">
        <v>11</v>
      </c>
      <c r="D2125" s="5" t="s">
        <v>12</v>
      </c>
      <c r="E2125" s="5" t="s">
        <v>963</v>
      </c>
    </row>
    <row r="2126" spans="1:5" x14ac:dyDescent="0.25">
      <c r="A2126" s="5">
        <f>2118</f>
      </c>
      <c r="B2126" s="5" t="s">
        <v>2209</v>
      </c>
      <c r="C2126" s="5" t="s">
        <v>11</v>
      </c>
      <c r="D2126" s="5" t="s">
        <v>12</v>
      </c>
      <c r="E2126" s="5" t="s">
        <v>963</v>
      </c>
    </row>
    <row r="2127" spans="1:5" x14ac:dyDescent="0.25">
      <c r="A2127" s="5">
        <f>2119</f>
      </c>
      <c r="B2127" s="5" t="s">
        <v>2210</v>
      </c>
      <c r="C2127" s="5" t="s">
        <v>11</v>
      </c>
      <c r="D2127" s="5" t="s">
        <v>12</v>
      </c>
      <c r="E2127" s="5" t="s">
        <v>963</v>
      </c>
    </row>
    <row r="2128" spans="1:5" x14ac:dyDescent="0.25">
      <c r="A2128" s="5">
        <f>2120</f>
      </c>
      <c r="B2128" s="5" t="s">
        <v>2211</v>
      </c>
      <c r="C2128" s="5" t="s">
        <v>11</v>
      </c>
      <c r="D2128" s="5" t="s">
        <v>12</v>
      </c>
      <c r="E2128" s="5" t="s">
        <v>963</v>
      </c>
    </row>
    <row r="2129" spans="1:5" x14ac:dyDescent="0.25">
      <c r="A2129" s="5">
        <f>2121</f>
      </c>
      <c r="B2129" s="5" t="s">
        <v>2212</v>
      </c>
      <c r="C2129" s="5" t="s">
        <v>11</v>
      </c>
      <c r="D2129" s="5" t="s">
        <v>12</v>
      </c>
      <c r="E2129" s="5" t="s">
        <v>963</v>
      </c>
    </row>
    <row r="2130" spans="1:5" x14ac:dyDescent="0.25">
      <c r="A2130" s="5">
        <f>2122</f>
      </c>
      <c r="B2130" s="5" t="s">
        <v>2213</v>
      </c>
      <c r="C2130" s="5" t="s">
        <v>11</v>
      </c>
      <c r="D2130" s="5" t="s">
        <v>12</v>
      </c>
      <c r="E2130" s="5" t="s">
        <v>963</v>
      </c>
    </row>
    <row r="2131" spans="1:5" x14ac:dyDescent="0.25">
      <c r="A2131" s="5">
        <f>2123</f>
      </c>
      <c r="B2131" s="5" t="s">
        <v>2214</v>
      </c>
      <c r="C2131" s="5" t="s">
        <v>11</v>
      </c>
      <c r="D2131" s="5" t="s">
        <v>12</v>
      </c>
      <c r="E2131" s="5" t="s">
        <v>963</v>
      </c>
    </row>
    <row r="2132" spans="1:5" x14ac:dyDescent="0.25">
      <c r="A2132" s="5">
        <f>2124</f>
      </c>
      <c r="B2132" s="5" t="s">
        <v>2215</v>
      </c>
      <c r="C2132" s="5" t="s">
        <v>11</v>
      </c>
      <c r="D2132" s="5" t="s">
        <v>12</v>
      </c>
      <c r="E2132" s="5" t="s">
        <v>963</v>
      </c>
    </row>
    <row r="2133" spans="1:5" x14ac:dyDescent="0.25">
      <c r="A2133" s="5">
        <f>2125</f>
      </c>
      <c r="B2133" s="5" t="s">
        <v>2216</v>
      </c>
      <c r="C2133" s="5" t="s">
        <v>11</v>
      </c>
      <c r="D2133" s="5" t="s">
        <v>12</v>
      </c>
      <c r="E2133" s="5" t="s">
        <v>963</v>
      </c>
    </row>
    <row r="2134" spans="1:5" x14ac:dyDescent="0.25">
      <c r="A2134" s="5">
        <f>2126</f>
      </c>
      <c r="B2134" s="5" t="s">
        <v>2217</v>
      </c>
      <c r="C2134" s="5" t="s">
        <v>11</v>
      </c>
      <c r="D2134" s="5" t="s">
        <v>12</v>
      </c>
      <c r="E2134" s="5" t="s">
        <v>963</v>
      </c>
    </row>
    <row r="2135" spans="1:5" x14ac:dyDescent="0.25">
      <c r="A2135" s="5">
        <f>2127</f>
      </c>
      <c r="B2135" s="5" t="s">
        <v>2218</v>
      </c>
      <c r="C2135" s="5" t="s">
        <v>11</v>
      </c>
      <c r="D2135" s="5" t="s">
        <v>12</v>
      </c>
      <c r="E2135" s="5" t="s">
        <v>963</v>
      </c>
    </row>
    <row r="2136" spans="1:5" x14ac:dyDescent="0.25">
      <c r="A2136" s="5">
        <f>2128</f>
      </c>
      <c r="B2136" s="5" t="s">
        <v>2219</v>
      </c>
      <c r="C2136" s="5" t="s">
        <v>11</v>
      </c>
      <c r="D2136" s="5" t="s">
        <v>12</v>
      </c>
      <c r="E2136" s="5" t="s">
        <v>963</v>
      </c>
    </row>
    <row r="2137" spans="1:5" x14ac:dyDescent="0.25">
      <c r="A2137" s="5">
        <f>2129</f>
      </c>
      <c r="B2137" s="5" t="s">
        <v>2220</v>
      </c>
      <c r="C2137" s="5" t="s">
        <v>11</v>
      </c>
      <c r="D2137" s="5" t="s">
        <v>12</v>
      </c>
      <c r="E2137" s="5" t="s">
        <v>963</v>
      </c>
    </row>
    <row r="2138" spans="1:5" x14ac:dyDescent="0.25">
      <c r="A2138" s="5">
        <f>2130</f>
      </c>
      <c r="B2138" s="5" t="s">
        <v>2221</v>
      </c>
      <c r="C2138" s="5" t="s">
        <v>11</v>
      </c>
      <c r="D2138" s="5" t="s">
        <v>12</v>
      </c>
      <c r="E2138" s="5" t="s">
        <v>963</v>
      </c>
    </row>
    <row r="2139" spans="1:5" x14ac:dyDescent="0.25">
      <c r="A2139" s="5">
        <f>2131</f>
      </c>
      <c r="B2139" s="5" t="s">
        <v>2222</v>
      </c>
      <c r="C2139" s="5" t="s">
        <v>11</v>
      </c>
      <c r="D2139" s="5" t="s">
        <v>12</v>
      </c>
      <c r="E2139" s="5" t="s">
        <v>963</v>
      </c>
    </row>
    <row r="2140" spans="1:5" x14ac:dyDescent="0.25">
      <c r="A2140" s="5">
        <f>2132</f>
      </c>
      <c r="B2140" s="5" t="s">
        <v>2223</v>
      </c>
      <c r="C2140" s="5" t="s">
        <v>11</v>
      </c>
      <c r="D2140" s="5" t="s">
        <v>12</v>
      </c>
      <c r="E2140" s="5" t="s">
        <v>963</v>
      </c>
    </row>
    <row r="2141" spans="1:5" x14ac:dyDescent="0.25">
      <c r="A2141" s="5">
        <f>2133</f>
      </c>
      <c r="B2141" s="5" t="s">
        <v>2224</v>
      </c>
      <c r="C2141" s="5" t="s">
        <v>11</v>
      </c>
      <c r="D2141" s="5" t="s">
        <v>12</v>
      </c>
      <c r="E2141" s="5" t="s">
        <v>963</v>
      </c>
    </row>
    <row r="2142" spans="1:5" x14ac:dyDescent="0.25">
      <c r="A2142" s="5">
        <f>2134</f>
      </c>
      <c r="B2142" s="5" t="s">
        <v>2225</v>
      </c>
      <c r="C2142" s="5" t="s">
        <v>11</v>
      </c>
      <c r="D2142" s="5" t="s">
        <v>12</v>
      </c>
      <c r="E2142" s="5" t="s">
        <v>963</v>
      </c>
    </row>
    <row r="2143" spans="1:5" x14ac:dyDescent="0.25">
      <c r="A2143" s="5">
        <f>2135</f>
      </c>
      <c r="B2143" s="5" t="s">
        <v>2226</v>
      </c>
      <c r="C2143" s="5" t="s">
        <v>11</v>
      </c>
      <c r="D2143" s="5" t="s">
        <v>12</v>
      </c>
      <c r="E2143" s="5" t="s">
        <v>963</v>
      </c>
    </row>
    <row r="2144" spans="1:5" x14ac:dyDescent="0.25">
      <c r="A2144" s="5">
        <f>2136</f>
      </c>
      <c r="B2144" s="5" t="s">
        <v>2227</v>
      </c>
      <c r="C2144" s="5" t="s">
        <v>11</v>
      </c>
      <c r="D2144" s="5" t="s">
        <v>12</v>
      </c>
      <c r="E2144" s="5" t="s">
        <v>963</v>
      </c>
    </row>
    <row r="2145" spans="1:5" x14ac:dyDescent="0.25">
      <c r="A2145" s="5">
        <f>2137</f>
      </c>
      <c r="B2145" s="5" t="s">
        <v>2228</v>
      </c>
      <c r="C2145" s="5" t="s">
        <v>11</v>
      </c>
      <c r="D2145" s="5" t="s">
        <v>12</v>
      </c>
      <c r="E2145" s="5" t="s">
        <v>963</v>
      </c>
    </row>
    <row r="2146" spans="1:5" x14ac:dyDescent="0.25">
      <c r="A2146" s="5">
        <f>2138</f>
      </c>
      <c r="B2146" s="5" t="s">
        <v>2229</v>
      </c>
      <c r="C2146" s="5" t="s">
        <v>11</v>
      </c>
      <c r="D2146" s="5" t="s">
        <v>12</v>
      </c>
      <c r="E2146" s="5" t="s">
        <v>963</v>
      </c>
    </row>
    <row r="2147" spans="1:5" x14ac:dyDescent="0.25">
      <c r="A2147" s="5">
        <f>2139</f>
      </c>
      <c r="B2147" s="5" t="s">
        <v>2230</v>
      </c>
      <c r="C2147" s="5" t="s">
        <v>11</v>
      </c>
      <c r="D2147" s="5" t="s">
        <v>12</v>
      </c>
      <c r="E2147" s="5" t="s">
        <v>963</v>
      </c>
    </row>
    <row r="2148" spans="1:5" x14ac:dyDescent="0.25">
      <c r="A2148" s="5">
        <f>2140</f>
      </c>
      <c r="B2148" s="5" t="s">
        <v>2231</v>
      </c>
      <c r="C2148" s="5" t="s">
        <v>11</v>
      </c>
      <c r="D2148" s="5" t="s">
        <v>12</v>
      </c>
      <c r="E2148" s="5" t="s">
        <v>963</v>
      </c>
    </row>
    <row r="2149" spans="1:5" x14ac:dyDescent="0.25">
      <c r="A2149" s="5">
        <f>2141</f>
      </c>
      <c r="B2149" s="5" t="s">
        <v>2232</v>
      </c>
      <c r="C2149" s="5" t="s">
        <v>11</v>
      </c>
      <c r="D2149" s="5" t="s">
        <v>12</v>
      </c>
      <c r="E2149" s="5" t="s">
        <v>963</v>
      </c>
    </row>
    <row r="2150" spans="1:5" x14ac:dyDescent="0.25">
      <c r="A2150" s="5">
        <f>2142</f>
      </c>
      <c r="B2150" s="5" t="s">
        <v>2233</v>
      </c>
      <c r="C2150" s="5" t="s">
        <v>11</v>
      </c>
      <c r="D2150" s="5" t="s">
        <v>12</v>
      </c>
      <c r="E2150" s="5" t="s">
        <v>963</v>
      </c>
    </row>
    <row r="2151" spans="1:5" x14ac:dyDescent="0.25">
      <c r="A2151" s="5">
        <f>2143</f>
      </c>
      <c r="B2151" s="5" t="s">
        <v>2234</v>
      </c>
      <c r="C2151" s="5" t="s">
        <v>11</v>
      </c>
      <c r="D2151" s="5" t="s">
        <v>12</v>
      </c>
      <c r="E2151" s="5" t="s">
        <v>963</v>
      </c>
    </row>
    <row r="2152" spans="1:5" x14ac:dyDescent="0.25">
      <c r="A2152" s="5">
        <f>2144</f>
      </c>
      <c r="B2152" s="5" t="s">
        <v>2235</v>
      </c>
      <c r="C2152" s="5" t="s">
        <v>11</v>
      </c>
      <c r="D2152" s="5" t="s">
        <v>12</v>
      </c>
      <c r="E2152" s="5" t="s">
        <v>963</v>
      </c>
    </row>
    <row r="2153" spans="1:5" x14ac:dyDescent="0.25">
      <c r="A2153" s="5">
        <f>2145</f>
      </c>
      <c r="B2153" s="5" t="s">
        <v>2236</v>
      </c>
      <c r="C2153" s="5" t="s">
        <v>11</v>
      </c>
      <c r="D2153" s="5" t="s">
        <v>12</v>
      </c>
      <c r="E2153" s="5" t="s">
        <v>963</v>
      </c>
    </row>
    <row r="2154" spans="1:5" x14ac:dyDescent="0.25">
      <c r="A2154" s="5">
        <f>2146</f>
      </c>
      <c r="B2154" s="5" t="s">
        <v>2237</v>
      </c>
      <c r="C2154" s="5" t="s">
        <v>11</v>
      </c>
      <c r="D2154" s="5" t="s">
        <v>12</v>
      </c>
      <c r="E2154" s="5" t="s">
        <v>963</v>
      </c>
    </row>
    <row r="2155" spans="1:5" x14ac:dyDescent="0.25">
      <c r="A2155" s="5">
        <f>2147</f>
      </c>
      <c r="B2155" s="5" t="s">
        <v>2238</v>
      </c>
      <c r="C2155" s="5" t="s">
        <v>11</v>
      </c>
      <c r="D2155" s="5" t="s">
        <v>12</v>
      </c>
      <c r="E2155" s="5" t="s">
        <v>963</v>
      </c>
    </row>
    <row r="2156" spans="1:5" x14ac:dyDescent="0.25">
      <c r="A2156" s="5">
        <f>2148</f>
      </c>
      <c r="B2156" s="5" t="s">
        <v>2239</v>
      </c>
      <c r="C2156" s="5" t="s">
        <v>11</v>
      </c>
      <c r="D2156" s="5" t="s">
        <v>12</v>
      </c>
      <c r="E2156" s="5" t="s">
        <v>963</v>
      </c>
    </row>
    <row r="2157" spans="1:5" x14ac:dyDescent="0.25">
      <c r="A2157" s="5">
        <f>2149</f>
      </c>
      <c r="B2157" s="5" t="s">
        <v>2240</v>
      </c>
      <c r="C2157" s="5" t="s">
        <v>11</v>
      </c>
      <c r="D2157" s="5" t="s">
        <v>12</v>
      </c>
      <c r="E2157" s="5" t="s">
        <v>2241</v>
      </c>
    </row>
    <row r="2158" spans="1:5" x14ac:dyDescent="0.25">
      <c r="A2158" s="5">
        <f>2150</f>
      </c>
      <c r="B2158" s="5" t="s">
        <v>2240</v>
      </c>
      <c r="C2158" s="5" t="s">
        <v>11</v>
      </c>
      <c r="D2158" s="5" t="s">
        <v>12</v>
      </c>
      <c r="E2158" s="5" t="s">
        <v>2241</v>
      </c>
    </row>
    <row r="2159" spans="1:5" x14ac:dyDescent="0.25">
      <c r="A2159" s="5">
        <f>2151</f>
      </c>
      <c r="B2159" s="5" t="s">
        <v>2242</v>
      </c>
      <c r="C2159" s="5" t="s">
        <v>11</v>
      </c>
      <c r="D2159" s="5" t="s">
        <v>12</v>
      </c>
      <c r="E2159" s="5" t="s">
        <v>2241</v>
      </c>
    </row>
    <row r="2160" spans="1:5" x14ac:dyDescent="0.25">
      <c r="A2160" s="5">
        <f>2152</f>
      </c>
      <c r="B2160" s="5" t="s">
        <v>2242</v>
      </c>
      <c r="C2160" s="5" t="s">
        <v>11</v>
      </c>
      <c r="D2160" s="5" t="s">
        <v>12</v>
      </c>
      <c r="E2160" s="5" t="s">
        <v>2241</v>
      </c>
    </row>
    <row r="2161" spans="1:5" x14ac:dyDescent="0.25">
      <c r="A2161" s="5">
        <f>2153</f>
      </c>
      <c r="B2161" s="5" t="s">
        <v>2243</v>
      </c>
      <c r="C2161" s="5" t="s">
        <v>11</v>
      </c>
      <c r="D2161" s="5" t="s">
        <v>12</v>
      </c>
      <c r="E2161" s="5" t="s">
        <v>2244</v>
      </c>
    </row>
    <row r="2162" spans="1:5" x14ac:dyDescent="0.25">
      <c r="A2162" s="5">
        <f>2154</f>
      </c>
      <c r="B2162" s="5" t="s">
        <v>2243</v>
      </c>
      <c r="C2162" s="5" t="s">
        <v>11</v>
      </c>
      <c r="D2162" s="5" t="s">
        <v>12</v>
      </c>
      <c r="E2162" s="5" t="s">
        <v>2244</v>
      </c>
    </row>
    <row r="2163" spans="1:5" x14ac:dyDescent="0.25">
      <c r="A2163" s="5">
        <f>2155</f>
      </c>
      <c r="B2163" s="5" t="s">
        <v>2245</v>
      </c>
      <c r="C2163" s="5" t="s">
        <v>11</v>
      </c>
      <c r="D2163" s="5" t="s">
        <v>12</v>
      </c>
      <c r="E2163" s="5" t="s">
        <v>2244</v>
      </c>
    </row>
    <row r="2164" spans="1:5" x14ac:dyDescent="0.25">
      <c r="A2164" s="5">
        <f>2156</f>
      </c>
      <c r="B2164" s="5" t="s">
        <v>2245</v>
      </c>
      <c r="C2164" s="5" t="s">
        <v>11</v>
      </c>
      <c r="D2164" s="5" t="s">
        <v>12</v>
      </c>
      <c r="E2164" s="5" t="s">
        <v>2244</v>
      </c>
    </row>
    <row r="2165" spans="1:5" x14ac:dyDescent="0.25">
      <c r="A2165" s="5">
        <f>2157</f>
      </c>
      <c r="B2165" s="5" t="s">
        <v>2246</v>
      </c>
      <c r="C2165" s="5" t="s">
        <v>11</v>
      </c>
      <c r="D2165" s="5" t="s">
        <v>12</v>
      </c>
      <c r="E2165" s="5" t="s">
        <v>2247</v>
      </c>
    </row>
    <row r="2166" spans="1:5" x14ac:dyDescent="0.25">
      <c r="A2166" s="5">
        <f>2158</f>
      </c>
      <c r="B2166" s="5" t="s">
        <v>2246</v>
      </c>
      <c r="C2166" s="5" t="s">
        <v>11</v>
      </c>
      <c r="D2166" s="5" t="s">
        <v>12</v>
      </c>
      <c r="E2166" s="5" t="s">
        <v>2247</v>
      </c>
    </row>
    <row r="2167" spans="1:5" x14ac:dyDescent="0.25">
      <c r="A2167" s="5">
        <f>2159</f>
      </c>
      <c r="B2167" s="5" t="s">
        <v>2248</v>
      </c>
      <c r="C2167" s="5" t="s">
        <v>11</v>
      </c>
      <c r="D2167" s="5" t="s">
        <v>12</v>
      </c>
      <c r="E2167" s="5" t="s">
        <v>2249</v>
      </c>
    </row>
    <row r="2168" spans="1:5" x14ac:dyDescent="0.25">
      <c r="A2168" s="5">
        <f>2160</f>
      </c>
      <c r="B2168" s="5" t="s">
        <v>2248</v>
      </c>
      <c r="C2168" s="5" t="s">
        <v>11</v>
      </c>
      <c r="D2168" s="5" t="s">
        <v>12</v>
      </c>
      <c r="E2168" s="5" t="s">
        <v>2249</v>
      </c>
    </row>
    <row r="2169" spans="1:5" x14ac:dyDescent="0.25">
      <c r="A2169" s="5">
        <f>2161</f>
      </c>
      <c r="B2169" s="5" t="s">
        <v>2250</v>
      </c>
      <c r="C2169" s="5" t="s">
        <v>11</v>
      </c>
      <c r="D2169" s="5" t="s">
        <v>12</v>
      </c>
      <c r="E2169" s="5" t="s">
        <v>2251</v>
      </c>
    </row>
    <row r="2170" spans="1:5" x14ac:dyDescent="0.25">
      <c r="A2170" s="5">
        <f>2162</f>
      </c>
      <c r="B2170" s="5" t="s">
        <v>2250</v>
      </c>
      <c r="C2170" s="5" t="s">
        <v>11</v>
      </c>
      <c r="D2170" s="5" t="s">
        <v>12</v>
      </c>
      <c r="E2170" s="5" t="s">
        <v>2251</v>
      </c>
    </row>
    <row r="2171" spans="1:5" x14ac:dyDescent="0.25">
      <c r="A2171" s="5">
        <f>2163</f>
      </c>
      <c r="B2171" s="5" t="s">
        <v>2252</v>
      </c>
      <c r="C2171" s="5" t="s">
        <v>11</v>
      </c>
      <c r="D2171" s="5" t="s">
        <v>12</v>
      </c>
      <c r="E2171" s="5" t="s">
        <v>2253</v>
      </c>
    </row>
    <row r="2172" spans="1:5" x14ac:dyDescent="0.25">
      <c r="A2172" s="5">
        <f>2164</f>
      </c>
      <c r="B2172" s="5" t="s">
        <v>2252</v>
      </c>
      <c r="C2172" s="5" t="s">
        <v>11</v>
      </c>
      <c r="D2172" s="5" t="s">
        <v>12</v>
      </c>
      <c r="E2172" s="5" t="s">
        <v>2253</v>
      </c>
    </row>
    <row r="2173" spans="1:5" x14ac:dyDescent="0.25">
      <c r="A2173" s="5">
        <f>2165</f>
      </c>
      <c r="B2173" s="5" t="s">
        <v>2254</v>
      </c>
      <c r="C2173" s="5" t="s">
        <v>11</v>
      </c>
      <c r="D2173" s="5" t="s">
        <v>12</v>
      </c>
      <c r="E2173" s="5" t="s">
        <v>2255</v>
      </c>
    </row>
    <row r="2174" spans="1:5" x14ac:dyDescent="0.25">
      <c r="A2174" s="5">
        <f>2166</f>
      </c>
      <c r="B2174" s="5" t="s">
        <v>2254</v>
      </c>
      <c r="C2174" s="5" t="s">
        <v>11</v>
      </c>
      <c r="D2174" s="5" t="s">
        <v>12</v>
      </c>
      <c r="E2174" s="5" t="s">
        <v>2255</v>
      </c>
    </row>
    <row r="2175" spans="1:5" x14ac:dyDescent="0.25">
      <c r="A2175" s="5">
        <f>2167</f>
      </c>
      <c r="B2175" s="5" t="s">
        <v>2256</v>
      </c>
      <c r="C2175" s="5" t="s">
        <v>11</v>
      </c>
      <c r="D2175" s="5" t="s">
        <v>12</v>
      </c>
      <c r="E2175" s="5" t="s">
        <v>2257</v>
      </c>
    </row>
    <row r="2176" spans="1:5" x14ac:dyDescent="0.25">
      <c r="A2176" s="5">
        <f>2168</f>
      </c>
      <c r="B2176" s="5" t="s">
        <v>2256</v>
      </c>
      <c r="C2176" s="5" t="s">
        <v>11</v>
      </c>
      <c r="D2176" s="5" t="s">
        <v>12</v>
      </c>
      <c r="E2176" s="5" t="s">
        <v>2257</v>
      </c>
    </row>
    <row r="2177" spans="1:5" x14ac:dyDescent="0.25">
      <c r="A2177" s="5">
        <f>2169</f>
      </c>
      <c r="B2177" s="5" t="s">
        <v>2258</v>
      </c>
      <c r="C2177" s="5" t="s">
        <v>11</v>
      </c>
      <c r="D2177" s="5" t="s">
        <v>12</v>
      </c>
      <c r="E2177" s="5" t="s">
        <v>2259</v>
      </c>
    </row>
    <row r="2178" spans="1:5" x14ac:dyDescent="0.25">
      <c r="A2178" s="5">
        <f>2170</f>
      </c>
      <c r="B2178" s="5" t="s">
        <v>2258</v>
      </c>
      <c r="C2178" s="5" t="s">
        <v>11</v>
      </c>
      <c r="D2178" s="5" t="s">
        <v>12</v>
      </c>
      <c r="E2178" s="5" t="s">
        <v>2259</v>
      </c>
    </row>
    <row r="2179" spans="1:5" x14ac:dyDescent="0.25">
      <c r="A2179" s="5">
        <f>2171</f>
      </c>
      <c r="B2179" s="5" t="s">
        <v>2260</v>
      </c>
      <c r="C2179" s="5" t="s">
        <v>11</v>
      </c>
      <c r="D2179" s="5" t="s">
        <v>12</v>
      </c>
      <c r="E2179" s="5" t="s">
        <v>966</v>
      </c>
    </row>
    <row r="2180" spans="1:5" x14ac:dyDescent="0.25">
      <c r="A2180" s="5">
        <f>2172</f>
      </c>
      <c r="B2180" s="5" t="s">
        <v>2260</v>
      </c>
      <c r="C2180" s="5" t="s">
        <v>11</v>
      </c>
      <c r="D2180" s="5" t="s">
        <v>12</v>
      </c>
      <c r="E2180" s="5" t="s">
        <v>966</v>
      </c>
    </row>
    <row r="2181" spans="1:5" x14ac:dyDescent="0.25">
      <c r="A2181" s="5">
        <f>2173</f>
      </c>
      <c r="B2181" s="5" t="s">
        <v>2261</v>
      </c>
      <c r="C2181" s="5" t="s">
        <v>11</v>
      </c>
      <c r="D2181" s="5" t="s">
        <v>12</v>
      </c>
      <c r="E2181" s="5" t="s">
        <v>2262</v>
      </c>
    </row>
    <row r="2182" spans="1:5" x14ac:dyDescent="0.25">
      <c r="A2182" s="5">
        <f>2174</f>
      </c>
      <c r="B2182" s="5" t="s">
        <v>2261</v>
      </c>
      <c r="C2182" s="5" t="s">
        <v>11</v>
      </c>
      <c r="D2182" s="5" t="s">
        <v>12</v>
      </c>
      <c r="E2182" s="5" t="s">
        <v>2262</v>
      </c>
    </row>
    <row r="2183" spans="1:5" x14ac:dyDescent="0.25">
      <c r="A2183" s="5">
        <f>2175</f>
      </c>
      <c r="B2183" s="5" t="s">
        <v>2263</v>
      </c>
      <c r="C2183" s="5" t="s">
        <v>11</v>
      </c>
      <c r="D2183" s="5" t="s">
        <v>12</v>
      </c>
      <c r="E2183" s="5" t="s">
        <v>2262</v>
      </c>
    </row>
    <row r="2184" spans="1:5" x14ac:dyDescent="0.25">
      <c r="A2184" s="5">
        <f>2176</f>
      </c>
      <c r="B2184" s="5" t="s">
        <v>2263</v>
      </c>
      <c r="C2184" s="5" t="s">
        <v>11</v>
      </c>
      <c r="D2184" s="5" t="s">
        <v>12</v>
      </c>
      <c r="E2184" s="5" t="s">
        <v>2262</v>
      </c>
    </row>
    <row r="2185" spans="1:5" x14ac:dyDescent="0.25">
      <c r="A2185" s="5">
        <f>2177</f>
      </c>
      <c r="B2185" s="5" t="s">
        <v>2264</v>
      </c>
      <c r="C2185" s="5" t="s">
        <v>11</v>
      </c>
      <c r="D2185" s="5" t="s">
        <v>12</v>
      </c>
      <c r="E2185" s="5" t="s">
        <v>2265</v>
      </c>
    </row>
    <row r="2186" spans="1:5" x14ac:dyDescent="0.25">
      <c r="A2186" s="5">
        <f>2178</f>
      </c>
      <c r="B2186" s="5" t="s">
        <v>2264</v>
      </c>
      <c r="C2186" s="5" t="s">
        <v>11</v>
      </c>
      <c r="D2186" s="5" t="s">
        <v>12</v>
      </c>
      <c r="E2186" s="5" t="s">
        <v>2265</v>
      </c>
    </row>
    <row r="2187" spans="1:5" x14ac:dyDescent="0.25">
      <c r="A2187" s="5">
        <f>2179</f>
      </c>
      <c r="B2187" s="5" t="s">
        <v>2266</v>
      </c>
      <c r="C2187" s="5" t="s">
        <v>11</v>
      </c>
      <c r="D2187" s="5" t="s">
        <v>12</v>
      </c>
      <c r="E2187" s="5" t="s">
        <v>2265</v>
      </c>
    </row>
    <row r="2188" spans="1:5" x14ac:dyDescent="0.25">
      <c r="A2188" s="5">
        <f>2180</f>
      </c>
      <c r="B2188" s="5" t="s">
        <v>2266</v>
      </c>
      <c r="C2188" s="5" t="s">
        <v>11</v>
      </c>
      <c r="D2188" s="5" t="s">
        <v>12</v>
      </c>
      <c r="E2188" s="5" t="s">
        <v>2265</v>
      </c>
    </row>
    <row r="2189" spans="1:5" x14ac:dyDescent="0.25">
      <c r="A2189" s="5">
        <f>2181</f>
      </c>
      <c r="B2189" s="5" t="s">
        <v>2267</v>
      </c>
      <c r="C2189" s="5" t="s">
        <v>11</v>
      </c>
      <c r="D2189" s="5" t="s">
        <v>12</v>
      </c>
      <c r="E2189" s="5" t="s">
        <v>2265</v>
      </c>
    </row>
    <row r="2190" spans="1:5" x14ac:dyDescent="0.25">
      <c r="A2190" s="5">
        <f>2182</f>
      </c>
      <c r="B2190" s="5" t="s">
        <v>2267</v>
      </c>
      <c r="C2190" s="5" t="s">
        <v>11</v>
      </c>
      <c r="D2190" s="5" t="s">
        <v>12</v>
      </c>
      <c r="E2190" s="5" t="s">
        <v>2265</v>
      </c>
    </row>
    <row r="2191" spans="1:5" x14ac:dyDescent="0.25">
      <c r="A2191" s="5">
        <f>2183</f>
      </c>
      <c r="B2191" s="5" t="s">
        <v>2268</v>
      </c>
      <c r="C2191" s="5" t="s">
        <v>11</v>
      </c>
      <c r="D2191" s="5" t="s">
        <v>12</v>
      </c>
      <c r="E2191" s="5" t="s">
        <v>2265</v>
      </c>
    </row>
    <row r="2192" spans="1:5" x14ac:dyDescent="0.25">
      <c r="A2192" s="5">
        <f>2184</f>
      </c>
      <c r="B2192" s="5" t="s">
        <v>2268</v>
      </c>
      <c r="C2192" s="5" t="s">
        <v>11</v>
      </c>
      <c r="D2192" s="5" t="s">
        <v>12</v>
      </c>
      <c r="E2192" s="5" t="s">
        <v>2265</v>
      </c>
    </row>
    <row r="2193" spans="1:5" x14ac:dyDescent="0.25">
      <c r="A2193" s="5">
        <f>2185</f>
      </c>
      <c r="B2193" s="5" t="s">
        <v>2269</v>
      </c>
      <c r="C2193" s="5" t="s">
        <v>11</v>
      </c>
      <c r="D2193" s="5" t="s">
        <v>12</v>
      </c>
      <c r="E2193" s="5" t="s">
        <v>2265</v>
      </c>
    </row>
    <row r="2194" spans="1:5" x14ac:dyDescent="0.25">
      <c r="A2194" s="5">
        <f>2186</f>
      </c>
      <c r="B2194" s="5" t="s">
        <v>2269</v>
      </c>
      <c r="C2194" s="5" t="s">
        <v>11</v>
      </c>
      <c r="D2194" s="5" t="s">
        <v>12</v>
      </c>
      <c r="E2194" s="5" t="s">
        <v>2265</v>
      </c>
    </row>
    <row r="2195" spans="1:5" x14ac:dyDescent="0.25">
      <c r="A2195" s="5">
        <f>2187</f>
      </c>
      <c r="B2195" s="5" t="s">
        <v>2270</v>
      </c>
      <c r="C2195" s="5" t="s">
        <v>11</v>
      </c>
      <c r="D2195" s="5" t="s">
        <v>12</v>
      </c>
      <c r="E2195" s="5" t="s">
        <v>2265</v>
      </c>
    </row>
    <row r="2196" spans="1:5" x14ac:dyDescent="0.25">
      <c r="A2196" s="5">
        <f>2188</f>
      </c>
      <c r="B2196" s="5" t="s">
        <v>2270</v>
      </c>
      <c r="C2196" s="5" t="s">
        <v>11</v>
      </c>
      <c r="D2196" s="5" t="s">
        <v>12</v>
      </c>
      <c r="E2196" s="5" t="s">
        <v>2265</v>
      </c>
    </row>
    <row r="2197" spans="1:5" x14ac:dyDescent="0.25">
      <c r="A2197" s="5">
        <f>2189</f>
      </c>
      <c r="B2197" s="5" t="s">
        <v>2271</v>
      </c>
      <c r="C2197" s="5" t="s">
        <v>11</v>
      </c>
      <c r="D2197" s="5" t="s">
        <v>12</v>
      </c>
      <c r="E2197" s="5" t="s">
        <v>2265</v>
      </c>
    </row>
    <row r="2198" spans="1:5" x14ac:dyDescent="0.25">
      <c r="A2198" s="5">
        <f>2190</f>
      </c>
      <c r="B2198" s="5" t="s">
        <v>2271</v>
      </c>
      <c r="C2198" s="5" t="s">
        <v>11</v>
      </c>
      <c r="D2198" s="5" t="s">
        <v>12</v>
      </c>
      <c r="E2198" s="5" t="s">
        <v>2265</v>
      </c>
    </row>
    <row r="2199" spans="1:5" x14ac:dyDescent="0.25">
      <c r="A2199" s="5">
        <f>2191</f>
      </c>
      <c r="B2199" s="5" t="s">
        <v>2272</v>
      </c>
      <c r="C2199" s="5" t="s">
        <v>11</v>
      </c>
      <c r="D2199" s="5" t="s">
        <v>12</v>
      </c>
      <c r="E2199" s="5" t="s">
        <v>2265</v>
      </c>
    </row>
    <row r="2200" spans="1:5" x14ac:dyDescent="0.25">
      <c r="A2200" s="5">
        <f>2192</f>
      </c>
      <c r="B2200" s="5" t="s">
        <v>2272</v>
      </c>
      <c r="C2200" s="5" t="s">
        <v>11</v>
      </c>
      <c r="D2200" s="5" t="s">
        <v>12</v>
      </c>
      <c r="E2200" s="5" t="s">
        <v>2265</v>
      </c>
    </row>
    <row r="2201" spans="1:5" x14ac:dyDescent="0.25">
      <c r="A2201" s="5">
        <f>2193</f>
      </c>
      <c r="B2201" s="5" t="s">
        <v>2273</v>
      </c>
      <c r="C2201" s="5" t="s">
        <v>11</v>
      </c>
      <c r="D2201" s="5" t="s">
        <v>12</v>
      </c>
      <c r="E2201" s="5" t="s">
        <v>2265</v>
      </c>
    </row>
    <row r="2202" spans="1:5" x14ac:dyDescent="0.25">
      <c r="A2202" s="5">
        <f>2194</f>
      </c>
      <c r="B2202" s="5" t="s">
        <v>2273</v>
      </c>
      <c r="C2202" s="5" t="s">
        <v>11</v>
      </c>
      <c r="D2202" s="5" t="s">
        <v>12</v>
      </c>
      <c r="E2202" s="5" t="s">
        <v>2265</v>
      </c>
    </row>
    <row r="2203" spans="1:5" x14ac:dyDescent="0.25">
      <c r="A2203" s="5">
        <f>2195</f>
      </c>
      <c r="B2203" s="5" t="s">
        <v>2274</v>
      </c>
      <c r="C2203" s="5" t="s">
        <v>11</v>
      </c>
      <c r="D2203" s="5" t="s">
        <v>12</v>
      </c>
      <c r="E2203" s="5" t="s">
        <v>2265</v>
      </c>
    </row>
    <row r="2204" spans="1:5" x14ac:dyDescent="0.25">
      <c r="A2204" s="5">
        <f>2196</f>
      </c>
      <c r="B2204" s="5" t="s">
        <v>2274</v>
      </c>
      <c r="C2204" s="5" t="s">
        <v>11</v>
      </c>
      <c r="D2204" s="5" t="s">
        <v>12</v>
      </c>
      <c r="E2204" s="5" t="s">
        <v>2265</v>
      </c>
    </row>
    <row r="2205" spans="1:5" x14ac:dyDescent="0.25">
      <c r="A2205" s="5">
        <f>2197</f>
      </c>
      <c r="B2205" s="5" t="s">
        <v>2275</v>
      </c>
      <c r="C2205" s="5" t="s">
        <v>11</v>
      </c>
      <c r="D2205" s="5" t="s">
        <v>12</v>
      </c>
      <c r="E2205" s="5" t="s">
        <v>2265</v>
      </c>
    </row>
    <row r="2206" spans="1:5" x14ac:dyDescent="0.25">
      <c r="A2206" s="5">
        <f>2198</f>
      </c>
      <c r="B2206" s="5" t="s">
        <v>2275</v>
      </c>
      <c r="C2206" s="5" t="s">
        <v>11</v>
      </c>
      <c r="D2206" s="5" t="s">
        <v>12</v>
      </c>
      <c r="E2206" s="5" t="s">
        <v>2265</v>
      </c>
    </row>
    <row r="2207" spans="1:5" x14ac:dyDescent="0.25">
      <c r="A2207" s="5">
        <f>2199</f>
      </c>
      <c r="B2207" s="5" t="s">
        <v>2276</v>
      </c>
      <c r="C2207" s="5" t="s">
        <v>11</v>
      </c>
      <c r="D2207" s="5" t="s">
        <v>12</v>
      </c>
      <c r="E2207" s="5" t="s">
        <v>2265</v>
      </c>
    </row>
    <row r="2208" spans="1:5" x14ac:dyDescent="0.25">
      <c r="A2208" s="5">
        <f>2200</f>
      </c>
      <c r="B2208" s="5" t="s">
        <v>2276</v>
      </c>
      <c r="C2208" s="5" t="s">
        <v>11</v>
      </c>
      <c r="D2208" s="5" t="s">
        <v>12</v>
      </c>
      <c r="E2208" s="5" t="s">
        <v>2265</v>
      </c>
    </row>
    <row r="2209" spans="1:5" x14ac:dyDescent="0.25">
      <c r="A2209" s="5">
        <f>2201</f>
      </c>
      <c r="B2209" s="5" t="s">
        <v>2277</v>
      </c>
      <c r="C2209" s="5" t="s">
        <v>11</v>
      </c>
      <c r="D2209" s="5" t="s">
        <v>12</v>
      </c>
      <c r="E2209" s="5" t="s">
        <v>2265</v>
      </c>
    </row>
    <row r="2210" spans="1:5" x14ac:dyDescent="0.25">
      <c r="A2210" s="5">
        <f>2202</f>
      </c>
      <c r="B2210" s="5" t="s">
        <v>2277</v>
      </c>
      <c r="C2210" s="5" t="s">
        <v>11</v>
      </c>
      <c r="D2210" s="5" t="s">
        <v>12</v>
      </c>
      <c r="E2210" s="5" t="s">
        <v>2265</v>
      </c>
    </row>
    <row r="2211" spans="1:5" x14ac:dyDescent="0.25">
      <c r="A2211" s="5">
        <f>2203</f>
      </c>
      <c r="B2211" s="5" t="s">
        <v>2278</v>
      </c>
      <c r="C2211" s="5" t="s">
        <v>11</v>
      </c>
      <c r="D2211" s="5" t="s">
        <v>12</v>
      </c>
      <c r="E2211" s="5" t="s">
        <v>2265</v>
      </c>
    </row>
    <row r="2212" spans="1:5" x14ac:dyDescent="0.25">
      <c r="A2212" s="5">
        <f>2204</f>
      </c>
      <c r="B2212" s="5" t="s">
        <v>2278</v>
      </c>
      <c r="C2212" s="5" t="s">
        <v>11</v>
      </c>
      <c r="D2212" s="5" t="s">
        <v>12</v>
      </c>
      <c r="E2212" s="5" t="s">
        <v>2265</v>
      </c>
    </row>
    <row r="2213" spans="1:5" x14ac:dyDescent="0.25">
      <c r="A2213" s="5">
        <f>2205</f>
      </c>
      <c r="B2213" s="5" t="s">
        <v>2279</v>
      </c>
      <c r="C2213" s="5" t="s">
        <v>11</v>
      </c>
      <c r="D2213" s="5" t="s">
        <v>12</v>
      </c>
      <c r="E2213" s="5" t="s">
        <v>2265</v>
      </c>
    </row>
    <row r="2214" spans="1:5" x14ac:dyDescent="0.25">
      <c r="A2214" s="5">
        <f>2206</f>
      </c>
      <c r="B2214" s="5" t="s">
        <v>2279</v>
      </c>
      <c r="C2214" s="5" t="s">
        <v>11</v>
      </c>
      <c r="D2214" s="5" t="s">
        <v>12</v>
      </c>
      <c r="E2214" s="5" t="s">
        <v>2265</v>
      </c>
    </row>
    <row r="2215" spans="1:5" x14ac:dyDescent="0.25">
      <c r="A2215" s="5">
        <f>2207</f>
      </c>
      <c r="B2215" s="5" t="s">
        <v>2280</v>
      </c>
      <c r="C2215" s="5" t="s">
        <v>11</v>
      </c>
      <c r="D2215" s="5" t="s">
        <v>12</v>
      </c>
      <c r="E2215" s="5" t="s">
        <v>2265</v>
      </c>
    </row>
    <row r="2216" spans="1:5" x14ac:dyDescent="0.25">
      <c r="A2216" s="5">
        <f>2208</f>
      </c>
      <c r="B2216" s="5" t="s">
        <v>2280</v>
      </c>
      <c r="C2216" s="5" t="s">
        <v>11</v>
      </c>
      <c r="D2216" s="5" t="s">
        <v>12</v>
      </c>
      <c r="E2216" s="5" t="s">
        <v>2265</v>
      </c>
    </row>
    <row r="2217" spans="1:5" x14ac:dyDescent="0.25">
      <c r="A2217" s="5">
        <f>2209</f>
      </c>
      <c r="B2217" s="5" t="s">
        <v>2281</v>
      </c>
      <c r="C2217" s="5" t="s">
        <v>11</v>
      </c>
      <c r="D2217" s="5" t="s">
        <v>12</v>
      </c>
      <c r="E2217" s="5" t="s">
        <v>2265</v>
      </c>
    </row>
    <row r="2218" spans="1:5" x14ac:dyDescent="0.25">
      <c r="A2218" s="5">
        <f>2210</f>
      </c>
      <c r="B2218" s="5" t="s">
        <v>2281</v>
      </c>
      <c r="C2218" s="5" t="s">
        <v>11</v>
      </c>
      <c r="D2218" s="5" t="s">
        <v>12</v>
      </c>
      <c r="E2218" s="5" t="s">
        <v>2265</v>
      </c>
    </row>
    <row r="2219" spans="1:5" x14ac:dyDescent="0.25">
      <c r="A2219" s="5">
        <f>2211</f>
      </c>
      <c r="B2219" s="5" t="s">
        <v>2282</v>
      </c>
      <c r="C2219" s="5" t="s">
        <v>11</v>
      </c>
      <c r="D2219" s="5" t="s">
        <v>12</v>
      </c>
      <c r="E2219" s="5" t="s">
        <v>2265</v>
      </c>
    </row>
    <row r="2220" spans="1:5" x14ac:dyDescent="0.25">
      <c r="A2220" s="5">
        <f>2212</f>
      </c>
      <c r="B2220" s="5" t="s">
        <v>2282</v>
      </c>
      <c r="C2220" s="5" t="s">
        <v>11</v>
      </c>
      <c r="D2220" s="5" t="s">
        <v>12</v>
      </c>
      <c r="E2220" s="5" t="s">
        <v>2265</v>
      </c>
    </row>
    <row r="2221" spans="1:5" x14ac:dyDescent="0.25">
      <c r="A2221" s="5">
        <f>2213</f>
      </c>
      <c r="B2221" s="5" t="s">
        <v>2283</v>
      </c>
      <c r="C2221" s="5" t="s">
        <v>11</v>
      </c>
      <c r="D2221" s="5" t="s">
        <v>12</v>
      </c>
      <c r="E2221" s="5" t="s">
        <v>2265</v>
      </c>
    </row>
    <row r="2222" spans="1:5" x14ac:dyDescent="0.25">
      <c r="A2222" s="5">
        <f>2214</f>
      </c>
      <c r="B2222" s="5" t="s">
        <v>2283</v>
      </c>
      <c r="C2222" s="5" t="s">
        <v>11</v>
      </c>
      <c r="D2222" s="5" t="s">
        <v>12</v>
      </c>
      <c r="E2222" s="5" t="s">
        <v>2265</v>
      </c>
    </row>
    <row r="2223" spans="1:5" x14ac:dyDescent="0.25">
      <c r="A2223" s="5">
        <f>2215</f>
      </c>
      <c r="B2223" s="5" t="s">
        <v>2284</v>
      </c>
      <c r="C2223" s="5" t="s">
        <v>11</v>
      </c>
      <c r="D2223" s="5" t="s">
        <v>12</v>
      </c>
      <c r="E2223" s="5" t="s">
        <v>2285</v>
      </c>
    </row>
    <row r="2224" spans="1:5" x14ac:dyDescent="0.25">
      <c r="A2224" s="5">
        <f>2216</f>
      </c>
      <c r="B2224" s="5" t="s">
        <v>2284</v>
      </c>
      <c r="C2224" s="5" t="s">
        <v>11</v>
      </c>
      <c r="D2224" s="5" t="s">
        <v>12</v>
      </c>
      <c r="E2224" s="5" t="s">
        <v>2285</v>
      </c>
    </row>
    <row r="2225" spans="1:5" x14ac:dyDescent="0.25">
      <c r="A2225" s="5">
        <f>2217</f>
      </c>
      <c r="B2225" s="5" t="s">
        <v>2286</v>
      </c>
      <c r="C2225" s="5" t="s">
        <v>11</v>
      </c>
      <c r="D2225" s="5" t="s">
        <v>12</v>
      </c>
      <c r="E2225" s="5" t="s">
        <v>2285</v>
      </c>
    </row>
    <row r="2226" spans="1:5" x14ac:dyDescent="0.25">
      <c r="A2226" s="5">
        <f>2218</f>
      </c>
      <c r="B2226" s="5" t="s">
        <v>2286</v>
      </c>
      <c r="C2226" s="5" t="s">
        <v>11</v>
      </c>
      <c r="D2226" s="5" t="s">
        <v>12</v>
      </c>
      <c r="E2226" s="5" t="s">
        <v>2285</v>
      </c>
    </row>
    <row r="2227" spans="1:5" x14ac:dyDescent="0.25">
      <c r="A2227" s="5">
        <f>2219</f>
      </c>
      <c r="B2227" s="5" t="s">
        <v>2287</v>
      </c>
      <c r="C2227" s="5" t="s">
        <v>11</v>
      </c>
      <c r="D2227" s="5" t="s">
        <v>12</v>
      </c>
      <c r="E2227" s="5" t="s">
        <v>2285</v>
      </c>
    </row>
    <row r="2228" spans="1:5" x14ac:dyDescent="0.25">
      <c r="A2228" s="5">
        <f>2220</f>
      </c>
      <c r="B2228" s="5" t="s">
        <v>2287</v>
      </c>
      <c r="C2228" s="5" t="s">
        <v>11</v>
      </c>
      <c r="D2228" s="5" t="s">
        <v>12</v>
      </c>
      <c r="E2228" s="5" t="s">
        <v>2285</v>
      </c>
    </row>
    <row r="2229" spans="1:5" x14ac:dyDescent="0.25">
      <c r="A2229" s="5">
        <f>2221</f>
      </c>
      <c r="B2229" s="5" t="s">
        <v>2288</v>
      </c>
      <c r="C2229" s="5" t="s">
        <v>11</v>
      </c>
      <c r="D2229" s="5" t="s">
        <v>12</v>
      </c>
      <c r="E2229" s="5" t="s">
        <v>2285</v>
      </c>
    </row>
    <row r="2230" spans="1:5" x14ac:dyDescent="0.25">
      <c r="A2230" s="5">
        <f>2222</f>
      </c>
      <c r="B2230" s="5" t="s">
        <v>2288</v>
      </c>
      <c r="C2230" s="5" t="s">
        <v>11</v>
      </c>
      <c r="D2230" s="5" t="s">
        <v>12</v>
      </c>
      <c r="E2230" s="5" t="s">
        <v>2285</v>
      </c>
    </row>
    <row r="2231" spans="1:5" x14ac:dyDescent="0.25">
      <c r="A2231" s="5">
        <f>2223</f>
      </c>
      <c r="B2231" s="5" t="s">
        <v>2289</v>
      </c>
      <c r="C2231" s="5" t="s">
        <v>11</v>
      </c>
      <c r="D2231" s="5" t="s">
        <v>12</v>
      </c>
      <c r="E2231" s="5" t="s">
        <v>2290</v>
      </c>
    </row>
    <row r="2232" spans="1:5" x14ac:dyDescent="0.25">
      <c r="A2232" s="5">
        <f>2224</f>
      </c>
      <c r="B2232" s="5" t="s">
        <v>2289</v>
      </c>
      <c r="C2232" s="5" t="s">
        <v>11</v>
      </c>
      <c r="D2232" s="5" t="s">
        <v>12</v>
      </c>
      <c r="E2232" s="5" t="s">
        <v>2290</v>
      </c>
    </row>
    <row r="2233" spans="1:5" x14ac:dyDescent="0.25">
      <c r="A2233" s="5">
        <f>2225</f>
      </c>
      <c r="B2233" s="5" t="s">
        <v>2291</v>
      </c>
      <c r="C2233" s="5" t="s">
        <v>11</v>
      </c>
      <c r="D2233" s="5" t="s">
        <v>12</v>
      </c>
      <c r="E2233" s="5" t="s">
        <v>2290</v>
      </c>
    </row>
    <row r="2234" spans="1:5" x14ac:dyDescent="0.25">
      <c r="A2234" s="5">
        <f>2226</f>
      </c>
      <c r="B2234" s="5" t="s">
        <v>2291</v>
      </c>
      <c r="C2234" s="5" t="s">
        <v>11</v>
      </c>
      <c r="D2234" s="5" t="s">
        <v>12</v>
      </c>
      <c r="E2234" s="5" t="s">
        <v>2290</v>
      </c>
    </row>
    <row r="2235" spans="1:5" x14ac:dyDescent="0.25">
      <c r="A2235" s="5">
        <f>2227</f>
      </c>
      <c r="B2235" s="5" t="s">
        <v>2292</v>
      </c>
      <c r="C2235" s="5" t="s">
        <v>11</v>
      </c>
      <c r="D2235" s="5" t="s">
        <v>12</v>
      </c>
      <c r="E2235" s="5" t="s">
        <v>2293</v>
      </c>
    </row>
    <row r="2236" spans="1:5" x14ac:dyDescent="0.25">
      <c r="A2236" s="5">
        <f>2228</f>
      </c>
      <c r="B2236" s="5" t="s">
        <v>2292</v>
      </c>
      <c r="C2236" s="5" t="s">
        <v>11</v>
      </c>
      <c r="D2236" s="5" t="s">
        <v>12</v>
      </c>
      <c r="E2236" s="5" t="s">
        <v>2293</v>
      </c>
    </row>
    <row r="2237" spans="1:5" x14ac:dyDescent="0.25">
      <c r="A2237" s="5">
        <f>2229</f>
      </c>
      <c r="B2237" s="5" t="s">
        <v>2294</v>
      </c>
      <c r="C2237" s="5" t="s">
        <v>11</v>
      </c>
      <c r="D2237" s="5" t="s">
        <v>12</v>
      </c>
      <c r="E2237" s="5" t="s">
        <v>2293</v>
      </c>
    </row>
    <row r="2238" spans="1:5" x14ac:dyDescent="0.25">
      <c r="A2238" s="5">
        <f>2230</f>
      </c>
      <c r="B2238" s="5" t="s">
        <v>2294</v>
      </c>
      <c r="C2238" s="5" t="s">
        <v>11</v>
      </c>
      <c r="D2238" s="5" t="s">
        <v>12</v>
      </c>
      <c r="E2238" s="5" t="s">
        <v>2293</v>
      </c>
    </row>
    <row r="2239" spans="1:5" x14ac:dyDescent="0.25">
      <c r="A2239" s="5">
        <f>2231</f>
      </c>
      <c r="B2239" s="5" t="s">
        <v>2295</v>
      </c>
      <c r="C2239" s="5" t="s">
        <v>11</v>
      </c>
      <c r="D2239" s="5" t="s">
        <v>12</v>
      </c>
      <c r="E2239" s="5" t="s">
        <v>2296</v>
      </c>
    </row>
    <row r="2240" spans="1:5" x14ac:dyDescent="0.25">
      <c r="A2240" s="5">
        <f>2232</f>
      </c>
      <c r="B2240" s="5" t="s">
        <v>2295</v>
      </c>
      <c r="C2240" s="5" t="s">
        <v>11</v>
      </c>
      <c r="D2240" s="5" t="s">
        <v>12</v>
      </c>
      <c r="E2240" s="5" t="s">
        <v>2296</v>
      </c>
    </row>
    <row r="2241" spans="1:5" x14ac:dyDescent="0.25">
      <c r="A2241" s="5">
        <f>2233</f>
      </c>
      <c r="B2241" s="5" t="s">
        <v>2297</v>
      </c>
      <c r="C2241" s="5" t="s">
        <v>11</v>
      </c>
      <c r="D2241" s="5" t="s">
        <v>12</v>
      </c>
      <c r="E2241" s="5" t="s">
        <v>2298</v>
      </c>
    </row>
    <row r="2242" spans="1:5" x14ac:dyDescent="0.25">
      <c r="A2242" s="5">
        <f>2234</f>
      </c>
      <c r="B2242" s="5" t="s">
        <v>2297</v>
      </c>
      <c r="C2242" s="5" t="s">
        <v>11</v>
      </c>
      <c r="D2242" s="5" t="s">
        <v>12</v>
      </c>
      <c r="E2242" s="5" t="s">
        <v>2298</v>
      </c>
    </row>
    <row r="2243" spans="1:5" x14ac:dyDescent="0.25">
      <c r="A2243" s="5">
        <f>2235</f>
      </c>
      <c r="B2243" s="5" t="s">
        <v>2299</v>
      </c>
      <c r="C2243" s="5" t="s">
        <v>11</v>
      </c>
      <c r="D2243" s="5" t="s">
        <v>12</v>
      </c>
      <c r="E2243" s="5" t="s">
        <v>2300</v>
      </c>
    </row>
    <row r="2244" spans="1:5" x14ac:dyDescent="0.25">
      <c r="A2244" s="5">
        <f>2236</f>
      </c>
      <c r="B2244" s="5" t="s">
        <v>2299</v>
      </c>
      <c r="C2244" s="5" t="s">
        <v>11</v>
      </c>
      <c r="D2244" s="5" t="s">
        <v>12</v>
      </c>
      <c r="E2244" s="5" t="s">
        <v>2300</v>
      </c>
    </row>
    <row r="2245" spans="1:5" x14ac:dyDescent="0.25">
      <c r="A2245" s="5">
        <f>2237</f>
      </c>
      <c r="B2245" s="5" t="s">
        <v>2301</v>
      </c>
      <c r="C2245" s="5" t="s">
        <v>11</v>
      </c>
      <c r="D2245" s="5" t="s">
        <v>12</v>
      </c>
      <c r="E2245" s="5" t="s">
        <v>2302</v>
      </c>
    </row>
    <row r="2246" spans="1:5" x14ac:dyDescent="0.25">
      <c r="A2246" s="5">
        <f>2238</f>
      </c>
      <c r="B2246" s="5" t="s">
        <v>2301</v>
      </c>
      <c r="C2246" s="5" t="s">
        <v>11</v>
      </c>
      <c r="D2246" s="5" t="s">
        <v>12</v>
      </c>
      <c r="E2246" s="5" t="s">
        <v>2302</v>
      </c>
    </row>
    <row r="2247" spans="1:5" x14ac:dyDescent="0.25">
      <c r="A2247" s="5">
        <f>2239</f>
      </c>
      <c r="B2247" s="5" t="s">
        <v>2303</v>
      </c>
      <c r="C2247" s="5" t="s">
        <v>11</v>
      </c>
      <c r="D2247" s="5" t="s">
        <v>12</v>
      </c>
      <c r="E2247" s="5" t="s">
        <v>2304</v>
      </c>
    </row>
    <row r="2248" spans="1:5" x14ac:dyDescent="0.25">
      <c r="A2248" s="5">
        <f>2240</f>
      </c>
      <c r="B2248" s="5" t="s">
        <v>2303</v>
      </c>
      <c r="C2248" s="5" t="s">
        <v>11</v>
      </c>
      <c r="D2248" s="5" t="s">
        <v>12</v>
      </c>
      <c r="E2248" s="5" t="s">
        <v>2304</v>
      </c>
    </row>
    <row r="2249" spans="1:5" x14ac:dyDescent="0.25">
      <c r="A2249" s="5">
        <f>2241</f>
      </c>
      <c r="B2249" s="5" t="s">
        <v>2305</v>
      </c>
      <c r="C2249" s="5" t="s">
        <v>11</v>
      </c>
      <c r="D2249" s="5" t="s">
        <v>12</v>
      </c>
      <c r="E2249" s="5" t="s">
        <v>819</v>
      </c>
    </row>
    <row r="2250" spans="1:5" x14ac:dyDescent="0.25">
      <c r="A2250" s="5">
        <f>2242</f>
      </c>
      <c r="B2250" s="5" t="s">
        <v>2305</v>
      </c>
      <c r="C2250" s="5" t="s">
        <v>11</v>
      </c>
      <c r="D2250" s="5" t="s">
        <v>12</v>
      </c>
      <c r="E2250" s="5" t="s">
        <v>819</v>
      </c>
    </row>
    <row r="2251" spans="1:5" x14ac:dyDescent="0.25">
      <c r="A2251" s="5">
        <f>2243</f>
      </c>
      <c r="B2251" s="5" t="s">
        <v>2306</v>
      </c>
      <c r="C2251" s="5" t="s">
        <v>11</v>
      </c>
      <c r="D2251" s="5" t="s">
        <v>12</v>
      </c>
      <c r="E2251" s="5" t="s">
        <v>2307</v>
      </c>
    </row>
    <row r="2252" spans="1:5" x14ac:dyDescent="0.25">
      <c r="A2252" s="5">
        <f>2244</f>
      </c>
      <c r="B2252" s="5" t="s">
        <v>2306</v>
      </c>
      <c r="C2252" s="5" t="s">
        <v>11</v>
      </c>
      <c r="D2252" s="5" t="s">
        <v>12</v>
      </c>
      <c r="E2252" s="5" t="s">
        <v>2307</v>
      </c>
    </row>
    <row r="2253" spans="1:5" x14ac:dyDescent="0.25">
      <c r="A2253" s="5">
        <f>2245</f>
      </c>
      <c r="B2253" s="5" t="s">
        <v>2308</v>
      </c>
      <c r="C2253" s="5" t="s">
        <v>11</v>
      </c>
      <c r="D2253" s="5" t="s">
        <v>12</v>
      </c>
      <c r="E2253" s="5" t="s">
        <v>2309</v>
      </c>
    </row>
    <row r="2254" spans="1:5" x14ac:dyDescent="0.25">
      <c r="A2254" s="5">
        <f>2246</f>
      </c>
      <c r="B2254" s="5" t="s">
        <v>2308</v>
      </c>
      <c r="C2254" s="5" t="s">
        <v>11</v>
      </c>
      <c r="D2254" s="5" t="s">
        <v>12</v>
      </c>
      <c r="E2254" s="5" t="s">
        <v>2309</v>
      </c>
    </row>
    <row r="2255" spans="1:5" x14ac:dyDescent="0.25">
      <c r="A2255" s="5">
        <f>2247</f>
      </c>
      <c r="B2255" s="5" t="s">
        <v>2310</v>
      </c>
      <c r="C2255" s="5" t="s">
        <v>11</v>
      </c>
      <c r="D2255" s="5" t="s">
        <v>12</v>
      </c>
      <c r="E2255" s="5" t="s">
        <v>846</v>
      </c>
    </row>
    <row r="2256" spans="1:5" x14ac:dyDescent="0.25">
      <c r="A2256" s="5">
        <f>2248</f>
      </c>
      <c r="B2256" s="5" t="s">
        <v>2310</v>
      </c>
      <c r="C2256" s="5" t="s">
        <v>11</v>
      </c>
      <c r="D2256" s="5" t="s">
        <v>12</v>
      </c>
      <c r="E2256" s="5" t="s">
        <v>846</v>
      </c>
    </row>
    <row r="2257" spans="1:5" x14ac:dyDescent="0.25">
      <c r="A2257" s="5">
        <f>2249</f>
      </c>
      <c r="B2257" s="5" t="s">
        <v>2311</v>
      </c>
      <c r="C2257" s="5" t="s">
        <v>11</v>
      </c>
      <c r="D2257" s="5" t="s">
        <v>12</v>
      </c>
      <c r="E2257" s="5" t="s">
        <v>846</v>
      </c>
    </row>
    <row r="2258" spans="1:5" x14ac:dyDescent="0.25">
      <c r="A2258" s="5">
        <f>2250</f>
      </c>
      <c r="B2258" s="5" t="s">
        <v>2311</v>
      </c>
      <c r="C2258" s="5" t="s">
        <v>11</v>
      </c>
      <c r="D2258" s="5" t="s">
        <v>12</v>
      </c>
      <c r="E2258" s="5" t="s">
        <v>846</v>
      </c>
    </row>
    <row r="2259" spans="1:5" x14ac:dyDescent="0.25">
      <c r="A2259" s="5">
        <f>2251</f>
      </c>
      <c r="B2259" s="5" t="s">
        <v>2312</v>
      </c>
      <c r="C2259" s="5" t="s">
        <v>11</v>
      </c>
      <c r="D2259" s="5" t="s">
        <v>12</v>
      </c>
      <c r="E2259" s="5" t="s">
        <v>846</v>
      </c>
    </row>
    <row r="2260" spans="1:5" x14ac:dyDescent="0.25">
      <c r="A2260" s="5">
        <f>2252</f>
      </c>
      <c r="B2260" s="5" t="s">
        <v>2312</v>
      </c>
      <c r="C2260" s="5" t="s">
        <v>11</v>
      </c>
      <c r="D2260" s="5" t="s">
        <v>12</v>
      </c>
      <c r="E2260" s="5" t="s">
        <v>846</v>
      </c>
    </row>
    <row r="2261" spans="1:5" x14ac:dyDescent="0.25">
      <c r="A2261" s="5">
        <f>2253</f>
      </c>
      <c r="B2261" s="5" t="s">
        <v>2313</v>
      </c>
      <c r="C2261" s="5" t="s">
        <v>11</v>
      </c>
      <c r="D2261" s="5" t="s">
        <v>12</v>
      </c>
      <c r="E2261" s="5" t="s">
        <v>846</v>
      </c>
    </row>
    <row r="2262" spans="1:5" x14ac:dyDescent="0.25">
      <c r="A2262" s="5">
        <f>2254</f>
      </c>
      <c r="B2262" s="5" t="s">
        <v>2313</v>
      </c>
      <c r="C2262" s="5" t="s">
        <v>11</v>
      </c>
      <c r="D2262" s="5" t="s">
        <v>12</v>
      </c>
      <c r="E2262" s="5" t="s">
        <v>846</v>
      </c>
    </row>
    <row r="2263" spans="1:5" x14ac:dyDescent="0.25">
      <c r="A2263" s="5">
        <f>2255</f>
      </c>
      <c r="B2263" s="5" t="s">
        <v>2314</v>
      </c>
      <c r="C2263" s="5" t="s">
        <v>11</v>
      </c>
      <c r="D2263" s="5" t="s">
        <v>12</v>
      </c>
      <c r="E2263" s="5" t="s">
        <v>846</v>
      </c>
    </row>
    <row r="2264" spans="1:5" x14ac:dyDescent="0.25">
      <c r="A2264" s="5">
        <f>2256</f>
      </c>
      <c r="B2264" s="5" t="s">
        <v>2314</v>
      </c>
      <c r="C2264" s="5" t="s">
        <v>11</v>
      </c>
      <c r="D2264" s="5" t="s">
        <v>12</v>
      </c>
      <c r="E2264" s="5" t="s">
        <v>846</v>
      </c>
    </row>
    <row r="2265" spans="1:5" x14ac:dyDescent="0.25">
      <c r="A2265" s="5">
        <f>2257</f>
      </c>
      <c r="B2265" s="5" t="s">
        <v>2315</v>
      </c>
      <c r="C2265" s="5" t="s">
        <v>11</v>
      </c>
      <c r="D2265" s="5" t="s">
        <v>12</v>
      </c>
      <c r="E2265" s="5" t="s">
        <v>2316</v>
      </c>
    </row>
    <row r="2266" spans="1:5" x14ac:dyDescent="0.25">
      <c r="A2266" s="5">
        <f>2258</f>
      </c>
      <c r="B2266" s="5" t="s">
        <v>2315</v>
      </c>
      <c r="C2266" s="5" t="s">
        <v>11</v>
      </c>
      <c r="D2266" s="5" t="s">
        <v>12</v>
      </c>
      <c r="E2266" s="5" t="s">
        <v>2316</v>
      </c>
    </row>
    <row r="2267" spans="1:5" x14ac:dyDescent="0.25">
      <c r="A2267" s="5">
        <f>2259</f>
      </c>
      <c r="B2267" s="5" t="s">
        <v>2317</v>
      </c>
      <c r="C2267" s="5" t="s">
        <v>11</v>
      </c>
      <c r="D2267" s="5" t="s">
        <v>12</v>
      </c>
      <c r="E2267" s="5" t="s">
        <v>2318</v>
      </c>
    </row>
    <row r="2268" spans="1:5" x14ac:dyDescent="0.25">
      <c r="A2268" s="5">
        <f>2260</f>
      </c>
      <c r="B2268" s="5" t="s">
        <v>2317</v>
      </c>
      <c r="C2268" s="5" t="s">
        <v>11</v>
      </c>
      <c r="D2268" s="5" t="s">
        <v>12</v>
      </c>
      <c r="E2268" s="5" t="s">
        <v>2318</v>
      </c>
    </row>
    <row r="2269" spans="1:5" x14ac:dyDescent="0.25">
      <c r="A2269" s="5">
        <f>2261</f>
      </c>
      <c r="B2269" s="5" t="s">
        <v>2319</v>
      </c>
      <c r="C2269" s="5" t="s">
        <v>11</v>
      </c>
      <c r="D2269" s="5" t="s">
        <v>12</v>
      </c>
      <c r="E2269" s="5" t="s">
        <v>2318</v>
      </c>
    </row>
    <row r="2270" spans="1:5" x14ac:dyDescent="0.25">
      <c r="A2270" s="5">
        <f>2262</f>
      </c>
      <c r="B2270" s="5" t="s">
        <v>2319</v>
      </c>
      <c r="C2270" s="5" t="s">
        <v>11</v>
      </c>
      <c r="D2270" s="5" t="s">
        <v>12</v>
      </c>
      <c r="E2270" s="5" t="s">
        <v>2318</v>
      </c>
    </row>
    <row r="2271" spans="1:5" x14ac:dyDescent="0.25">
      <c r="A2271" s="5">
        <f>2263</f>
      </c>
      <c r="B2271" s="5" t="s">
        <v>2320</v>
      </c>
      <c r="C2271" s="5" t="s">
        <v>11</v>
      </c>
      <c r="D2271" s="5" t="s">
        <v>12</v>
      </c>
      <c r="E2271" s="5" t="s">
        <v>778</v>
      </c>
    </row>
    <row r="2272" spans="1:5" x14ac:dyDescent="0.25">
      <c r="A2272" s="5">
        <f>2264</f>
      </c>
      <c r="B2272" s="5" t="s">
        <v>2320</v>
      </c>
      <c r="C2272" s="5" t="s">
        <v>11</v>
      </c>
      <c r="D2272" s="5" t="s">
        <v>12</v>
      </c>
      <c r="E2272" s="5" t="s">
        <v>778</v>
      </c>
    </row>
    <row r="2273" spans="1:5" x14ac:dyDescent="0.25">
      <c r="A2273" s="5">
        <f>2265</f>
      </c>
      <c r="B2273" s="5" t="s">
        <v>2321</v>
      </c>
      <c r="C2273" s="5" t="s">
        <v>11</v>
      </c>
      <c r="D2273" s="5" t="s">
        <v>12</v>
      </c>
      <c r="E2273" s="5" t="s">
        <v>2322</v>
      </c>
    </row>
    <row r="2274" spans="1:5" x14ac:dyDescent="0.25">
      <c r="A2274" s="5">
        <f>2266</f>
      </c>
      <c r="B2274" s="5" t="s">
        <v>2321</v>
      </c>
      <c r="C2274" s="5" t="s">
        <v>11</v>
      </c>
      <c r="D2274" s="5" t="s">
        <v>12</v>
      </c>
      <c r="E2274" s="5" t="s">
        <v>2322</v>
      </c>
    </row>
    <row r="2275" spans="1:5" x14ac:dyDescent="0.25">
      <c r="A2275" s="5">
        <f>2267</f>
      </c>
      <c r="B2275" s="5" t="s">
        <v>2323</v>
      </c>
      <c r="C2275" s="5" t="s">
        <v>11</v>
      </c>
      <c r="D2275" s="5" t="s">
        <v>12</v>
      </c>
      <c r="E2275" s="5" t="s">
        <v>732</v>
      </c>
    </row>
    <row r="2276" spans="1:5" x14ac:dyDescent="0.25">
      <c r="A2276" s="5">
        <f>2268</f>
      </c>
      <c r="B2276" s="5" t="s">
        <v>2323</v>
      </c>
      <c r="C2276" s="5" t="s">
        <v>11</v>
      </c>
      <c r="D2276" s="5" t="s">
        <v>12</v>
      </c>
      <c r="E2276" s="5" t="s">
        <v>732</v>
      </c>
    </row>
    <row r="2277" spans="1:5" x14ac:dyDescent="0.25">
      <c r="A2277" s="5">
        <f>2269</f>
      </c>
      <c r="B2277" s="5" t="s">
        <v>2324</v>
      </c>
      <c r="C2277" s="5" t="s">
        <v>11</v>
      </c>
      <c r="D2277" s="5" t="s">
        <v>12</v>
      </c>
      <c r="E2277" s="5" t="s">
        <v>2325</v>
      </c>
    </row>
    <row r="2278" spans="1:5" x14ac:dyDescent="0.25">
      <c r="A2278" s="5">
        <f>2270</f>
      </c>
      <c r="B2278" s="5" t="s">
        <v>2324</v>
      </c>
      <c r="C2278" s="5" t="s">
        <v>11</v>
      </c>
      <c r="D2278" s="5" t="s">
        <v>12</v>
      </c>
      <c r="E2278" s="5" t="s">
        <v>2325</v>
      </c>
    </row>
    <row r="2279" spans="1:5" x14ac:dyDescent="0.25">
      <c r="A2279" s="5">
        <f>2271</f>
      </c>
      <c r="B2279" s="5" t="s">
        <v>2326</v>
      </c>
      <c r="C2279" s="5" t="s">
        <v>11</v>
      </c>
      <c r="D2279" s="5" t="s">
        <v>12</v>
      </c>
      <c r="E2279" s="5" t="s">
        <v>2327</v>
      </c>
    </row>
    <row r="2280" spans="1:5" x14ac:dyDescent="0.25">
      <c r="A2280" s="5">
        <f>2272</f>
      </c>
      <c r="B2280" s="5" t="s">
        <v>2326</v>
      </c>
      <c r="C2280" s="5" t="s">
        <v>11</v>
      </c>
      <c r="D2280" s="5" t="s">
        <v>12</v>
      </c>
      <c r="E2280" s="5" t="s">
        <v>2327</v>
      </c>
    </row>
    <row r="2281" spans="1:5" x14ac:dyDescent="0.25">
      <c r="A2281" s="5">
        <f>2273</f>
      </c>
      <c r="B2281" s="5" t="s">
        <v>2328</v>
      </c>
      <c r="C2281" s="5" t="s">
        <v>11</v>
      </c>
      <c r="D2281" s="5" t="s">
        <v>12</v>
      </c>
      <c r="E2281" s="5" t="s">
        <v>2329</v>
      </c>
    </row>
    <row r="2282" spans="1:5" x14ac:dyDescent="0.25">
      <c r="A2282" s="5">
        <f>2274</f>
      </c>
      <c r="B2282" s="5" t="s">
        <v>2328</v>
      </c>
      <c r="C2282" s="5" t="s">
        <v>11</v>
      </c>
      <c r="D2282" s="5" t="s">
        <v>12</v>
      </c>
      <c r="E2282" s="5" t="s">
        <v>2329</v>
      </c>
    </row>
    <row r="2283" spans="1:5" x14ac:dyDescent="0.25">
      <c r="A2283" s="5">
        <f>2275</f>
      </c>
      <c r="B2283" s="5" t="s">
        <v>2330</v>
      </c>
      <c r="C2283" s="5" t="s">
        <v>11</v>
      </c>
      <c r="D2283" s="5" t="s">
        <v>12</v>
      </c>
      <c r="E2283" s="5" t="s">
        <v>2331</v>
      </c>
    </row>
    <row r="2284" spans="1:5" x14ac:dyDescent="0.25">
      <c r="A2284" s="5">
        <f>2276</f>
      </c>
      <c r="B2284" s="5" t="s">
        <v>2330</v>
      </c>
      <c r="C2284" s="5" t="s">
        <v>11</v>
      </c>
      <c r="D2284" s="5" t="s">
        <v>12</v>
      </c>
      <c r="E2284" s="5" t="s">
        <v>2331</v>
      </c>
    </row>
    <row r="2285" spans="1:5" x14ac:dyDescent="0.25">
      <c r="A2285" s="5">
        <f>2277</f>
      </c>
      <c r="B2285" s="5" t="s">
        <v>2332</v>
      </c>
      <c r="C2285" s="5" t="s">
        <v>11</v>
      </c>
      <c r="D2285" s="5" t="s">
        <v>12</v>
      </c>
      <c r="E2285" s="5" t="s">
        <v>2333</v>
      </c>
    </row>
    <row r="2286" spans="1:5" x14ac:dyDescent="0.25">
      <c r="A2286" s="5">
        <f>2278</f>
      </c>
      <c r="B2286" s="5" t="s">
        <v>2332</v>
      </c>
      <c r="C2286" s="5" t="s">
        <v>11</v>
      </c>
      <c r="D2286" s="5" t="s">
        <v>12</v>
      </c>
      <c r="E2286" s="5" t="s">
        <v>2333</v>
      </c>
    </row>
    <row r="2287" spans="1:5" x14ac:dyDescent="0.25">
      <c r="A2287" s="5">
        <f>2279</f>
      </c>
      <c r="B2287" s="5" t="s">
        <v>2334</v>
      </c>
      <c r="C2287" s="5" t="s">
        <v>11</v>
      </c>
      <c r="D2287" s="5" t="s">
        <v>12</v>
      </c>
      <c r="E2287" s="5" t="s">
        <v>2335</v>
      </c>
    </row>
    <row r="2288" spans="1:5" x14ac:dyDescent="0.25">
      <c r="A2288" s="5">
        <f>2280</f>
      </c>
      <c r="B2288" s="5" t="s">
        <v>2334</v>
      </c>
      <c r="C2288" s="5" t="s">
        <v>11</v>
      </c>
      <c r="D2288" s="5" t="s">
        <v>12</v>
      </c>
      <c r="E2288" s="5" t="s">
        <v>2335</v>
      </c>
    </row>
    <row r="2289" spans="1:5" x14ac:dyDescent="0.25">
      <c r="A2289" s="5">
        <f>2281</f>
      </c>
      <c r="B2289" s="5" t="s">
        <v>2336</v>
      </c>
      <c r="C2289" s="5" t="s">
        <v>11</v>
      </c>
      <c r="D2289" s="5" t="s">
        <v>12</v>
      </c>
      <c r="E2289" s="5" t="s">
        <v>2331</v>
      </c>
    </row>
    <row r="2290" spans="1:5" x14ac:dyDescent="0.25">
      <c r="A2290" s="5">
        <f>2282</f>
      </c>
      <c r="B2290" s="5" t="s">
        <v>2336</v>
      </c>
      <c r="C2290" s="5" t="s">
        <v>11</v>
      </c>
      <c r="D2290" s="5" t="s">
        <v>12</v>
      </c>
      <c r="E2290" s="5" t="s">
        <v>2331</v>
      </c>
    </row>
    <row r="2291" spans="1:5" x14ac:dyDescent="0.25">
      <c r="A2291" s="5">
        <f>2283</f>
      </c>
      <c r="B2291" s="5" t="s">
        <v>2337</v>
      </c>
      <c r="C2291" s="5" t="s">
        <v>11</v>
      </c>
      <c r="D2291" s="5" t="s">
        <v>12</v>
      </c>
      <c r="E2291" s="5" t="s">
        <v>2338</v>
      </c>
    </row>
    <row r="2292" spans="1:5" x14ac:dyDescent="0.25">
      <c r="A2292" s="5">
        <f>2284</f>
      </c>
      <c r="B2292" s="5" t="s">
        <v>2337</v>
      </c>
      <c r="C2292" s="5" t="s">
        <v>11</v>
      </c>
      <c r="D2292" s="5" t="s">
        <v>12</v>
      </c>
      <c r="E2292" s="5" t="s">
        <v>2338</v>
      </c>
    </row>
    <row r="2293" spans="1:5" x14ac:dyDescent="0.25">
      <c r="A2293" s="5">
        <f>2285</f>
      </c>
      <c r="B2293" s="5" t="s">
        <v>2339</v>
      </c>
      <c r="C2293" s="5" t="s">
        <v>11</v>
      </c>
      <c r="D2293" s="5" t="s">
        <v>12</v>
      </c>
      <c r="E2293" s="5" t="s">
        <v>2262</v>
      </c>
    </row>
    <row r="2294" spans="1:5" x14ac:dyDescent="0.25">
      <c r="A2294" s="5">
        <f>2286</f>
      </c>
      <c r="B2294" s="5" t="s">
        <v>2339</v>
      </c>
      <c r="C2294" s="5" t="s">
        <v>11</v>
      </c>
      <c r="D2294" s="5" t="s">
        <v>12</v>
      </c>
      <c r="E2294" s="5" t="s">
        <v>2262</v>
      </c>
    </row>
    <row r="2295" spans="1:5" x14ac:dyDescent="0.25">
      <c r="A2295" s="5">
        <f>2287</f>
      </c>
      <c r="B2295" s="5" t="s">
        <v>2340</v>
      </c>
      <c r="C2295" s="5" t="s">
        <v>11</v>
      </c>
      <c r="D2295" s="5" t="s">
        <v>12</v>
      </c>
      <c r="E2295" s="5" t="s">
        <v>2341</v>
      </c>
    </row>
    <row r="2296" spans="1:5" x14ac:dyDescent="0.25">
      <c r="A2296" s="5">
        <f>2288</f>
      </c>
      <c r="B2296" s="5" t="s">
        <v>2340</v>
      </c>
      <c r="C2296" s="5" t="s">
        <v>11</v>
      </c>
      <c r="D2296" s="5" t="s">
        <v>12</v>
      </c>
      <c r="E2296" s="5" t="s">
        <v>2341</v>
      </c>
    </row>
    <row r="2297" spans="1:5" x14ac:dyDescent="0.25">
      <c r="A2297" s="5">
        <f>2289</f>
      </c>
      <c r="B2297" s="5" t="s">
        <v>2342</v>
      </c>
      <c r="C2297" s="5" t="s">
        <v>11</v>
      </c>
      <c r="D2297" s="5" t="s">
        <v>12</v>
      </c>
      <c r="E2297" s="5" t="s">
        <v>2343</v>
      </c>
    </row>
    <row r="2298" spans="1:5" x14ac:dyDescent="0.25">
      <c r="A2298" s="5">
        <f>2290</f>
      </c>
      <c r="B2298" s="5" t="s">
        <v>2342</v>
      </c>
      <c r="C2298" s="5" t="s">
        <v>11</v>
      </c>
      <c r="D2298" s="5" t="s">
        <v>12</v>
      </c>
      <c r="E2298" s="5" t="s">
        <v>2343</v>
      </c>
    </row>
    <row r="2299" spans="1:5" x14ac:dyDescent="0.25">
      <c r="A2299" s="5">
        <f>2291</f>
      </c>
      <c r="B2299" s="5" t="s">
        <v>2344</v>
      </c>
      <c r="C2299" s="5" t="s">
        <v>11</v>
      </c>
      <c r="D2299" s="5" t="s">
        <v>12</v>
      </c>
      <c r="E2299" s="5" t="s">
        <v>2343</v>
      </c>
    </row>
    <row r="2300" spans="1:5" x14ac:dyDescent="0.25">
      <c r="A2300" s="5">
        <f>2292</f>
      </c>
      <c r="B2300" s="5" t="s">
        <v>2344</v>
      </c>
      <c r="C2300" s="5" t="s">
        <v>11</v>
      </c>
      <c r="D2300" s="5" t="s">
        <v>12</v>
      </c>
      <c r="E2300" s="5" t="s">
        <v>2343</v>
      </c>
    </row>
    <row r="2301" spans="1:5" x14ac:dyDescent="0.25">
      <c r="A2301" s="5">
        <f>2293</f>
      </c>
      <c r="B2301" s="5" t="s">
        <v>2345</v>
      </c>
      <c r="C2301" s="5" t="s">
        <v>11</v>
      </c>
      <c r="D2301" s="5" t="s">
        <v>12</v>
      </c>
      <c r="E2301" s="5" t="s">
        <v>2343</v>
      </c>
    </row>
    <row r="2302" spans="1:5" x14ac:dyDescent="0.25">
      <c r="A2302" s="5">
        <f>2294</f>
      </c>
      <c r="B2302" s="5" t="s">
        <v>2345</v>
      </c>
      <c r="C2302" s="5" t="s">
        <v>11</v>
      </c>
      <c r="D2302" s="5" t="s">
        <v>12</v>
      </c>
      <c r="E2302" s="5" t="s">
        <v>2343</v>
      </c>
    </row>
    <row r="2303" spans="1:5" x14ac:dyDescent="0.25">
      <c r="A2303" s="5">
        <f>2295</f>
      </c>
      <c r="B2303" s="5" t="s">
        <v>2346</v>
      </c>
      <c r="C2303" s="5" t="s">
        <v>11</v>
      </c>
      <c r="D2303" s="5" t="s">
        <v>12</v>
      </c>
      <c r="E2303" s="5" t="s">
        <v>2343</v>
      </c>
    </row>
    <row r="2304" spans="1:5" x14ac:dyDescent="0.25">
      <c r="A2304" s="5">
        <f>2296</f>
      </c>
      <c r="B2304" s="5" t="s">
        <v>2346</v>
      </c>
      <c r="C2304" s="5" t="s">
        <v>11</v>
      </c>
      <c r="D2304" s="5" t="s">
        <v>12</v>
      </c>
      <c r="E2304" s="5" t="s">
        <v>2343</v>
      </c>
    </row>
    <row r="2305" spans="1:5" x14ac:dyDescent="0.25">
      <c r="A2305" s="5">
        <f>2297</f>
      </c>
      <c r="B2305" s="5" t="s">
        <v>2347</v>
      </c>
      <c r="C2305" s="5" t="s">
        <v>11</v>
      </c>
      <c r="D2305" s="5" t="s">
        <v>12</v>
      </c>
      <c r="E2305" s="5" t="s">
        <v>2343</v>
      </c>
    </row>
    <row r="2306" spans="1:5" x14ac:dyDescent="0.25">
      <c r="A2306" s="5">
        <f>2298</f>
      </c>
      <c r="B2306" s="5" t="s">
        <v>2347</v>
      </c>
      <c r="C2306" s="5" t="s">
        <v>11</v>
      </c>
      <c r="D2306" s="5" t="s">
        <v>12</v>
      </c>
      <c r="E2306" s="5" t="s">
        <v>2343</v>
      </c>
    </row>
    <row r="2307" spans="1:5" x14ac:dyDescent="0.25">
      <c r="A2307" s="5">
        <f>2299</f>
      </c>
      <c r="B2307" s="5" t="s">
        <v>2348</v>
      </c>
      <c r="C2307" s="5" t="s">
        <v>11</v>
      </c>
      <c r="D2307" s="5" t="s">
        <v>12</v>
      </c>
      <c r="E2307" s="5" t="s">
        <v>2343</v>
      </c>
    </row>
    <row r="2308" spans="1:5" x14ac:dyDescent="0.25">
      <c r="A2308" s="5">
        <f>2300</f>
      </c>
      <c r="B2308" s="5" t="s">
        <v>2348</v>
      </c>
      <c r="C2308" s="5" t="s">
        <v>11</v>
      </c>
      <c r="D2308" s="5" t="s">
        <v>12</v>
      </c>
      <c r="E2308" s="5" t="s">
        <v>2343</v>
      </c>
    </row>
    <row r="2309" spans="1:5" x14ac:dyDescent="0.25">
      <c r="A2309" s="5">
        <f>2301</f>
      </c>
      <c r="B2309" s="5" t="s">
        <v>2349</v>
      </c>
      <c r="C2309" s="5" t="s">
        <v>11</v>
      </c>
      <c r="D2309" s="5" t="s">
        <v>12</v>
      </c>
      <c r="E2309" s="5" t="s">
        <v>2343</v>
      </c>
    </row>
    <row r="2310" spans="1:5" x14ac:dyDescent="0.25">
      <c r="A2310" s="5">
        <f>2302</f>
      </c>
      <c r="B2310" s="5" t="s">
        <v>2349</v>
      </c>
      <c r="C2310" s="5" t="s">
        <v>11</v>
      </c>
      <c r="D2310" s="5" t="s">
        <v>12</v>
      </c>
      <c r="E2310" s="5" t="s">
        <v>2343</v>
      </c>
    </row>
    <row r="2311" spans="1:5" x14ac:dyDescent="0.25">
      <c r="A2311" s="5">
        <f>2303</f>
      </c>
      <c r="B2311" s="5" t="s">
        <v>2350</v>
      </c>
      <c r="C2311" s="5" t="s">
        <v>11</v>
      </c>
      <c r="D2311" s="5" t="s">
        <v>12</v>
      </c>
      <c r="E2311" s="5" t="s">
        <v>2343</v>
      </c>
    </row>
    <row r="2312" spans="1:5" x14ac:dyDescent="0.25">
      <c r="A2312" s="5">
        <f>2304</f>
      </c>
      <c r="B2312" s="5" t="s">
        <v>2350</v>
      </c>
      <c r="C2312" s="5" t="s">
        <v>11</v>
      </c>
      <c r="D2312" s="5" t="s">
        <v>12</v>
      </c>
      <c r="E2312" s="5" t="s">
        <v>2343</v>
      </c>
    </row>
    <row r="2313" spans="1:5" x14ac:dyDescent="0.25">
      <c r="A2313" s="5">
        <f>2305</f>
      </c>
      <c r="B2313" s="5" t="s">
        <v>2351</v>
      </c>
      <c r="C2313" s="5" t="s">
        <v>11</v>
      </c>
      <c r="D2313" s="5" t="s">
        <v>12</v>
      </c>
      <c r="E2313" s="5" t="s">
        <v>2343</v>
      </c>
    </row>
    <row r="2314" spans="1:5" x14ac:dyDescent="0.25">
      <c r="A2314" s="5">
        <f>2306</f>
      </c>
      <c r="B2314" s="5" t="s">
        <v>2351</v>
      </c>
      <c r="C2314" s="5" t="s">
        <v>11</v>
      </c>
      <c r="D2314" s="5" t="s">
        <v>12</v>
      </c>
      <c r="E2314" s="5" t="s">
        <v>2343</v>
      </c>
    </row>
    <row r="2315" spans="1:5" x14ac:dyDescent="0.25">
      <c r="A2315" s="5">
        <f>2307</f>
      </c>
      <c r="B2315" s="5" t="s">
        <v>2352</v>
      </c>
      <c r="C2315" s="5" t="s">
        <v>11</v>
      </c>
      <c r="D2315" s="5" t="s">
        <v>12</v>
      </c>
      <c r="E2315" s="5" t="s">
        <v>2343</v>
      </c>
    </row>
    <row r="2316" spans="1:5" x14ac:dyDescent="0.25">
      <c r="A2316" s="5">
        <f>2308</f>
      </c>
      <c r="B2316" s="5" t="s">
        <v>2352</v>
      </c>
      <c r="C2316" s="5" t="s">
        <v>11</v>
      </c>
      <c r="D2316" s="5" t="s">
        <v>12</v>
      </c>
      <c r="E2316" s="5" t="s">
        <v>2343</v>
      </c>
    </row>
    <row r="2317" spans="1:5" x14ac:dyDescent="0.25">
      <c r="A2317" s="5">
        <f>2309</f>
      </c>
      <c r="B2317" s="5" t="s">
        <v>2353</v>
      </c>
      <c r="C2317" s="5" t="s">
        <v>11</v>
      </c>
      <c r="D2317" s="5" t="s">
        <v>12</v>
      </c>
      <c r="E2317" s="5" t="s">
        <v>2343</v>
      </c>
    </row>
    <row r="2318" spans="1:5" x14ac:dyDescent="0.25">
      <c r="A2318" s="5">
        <f>2310</f>
      </c>
      <c r="B2318" s="5" t="s">
        <v>2353</v>
      </c>
      <c r="C2318" s="5" t="s">
        <v>11</v>
      </c>
      <c r="D2318" s="5" t="s">
        <v>12</v>
      </c>
      <c r="E2318" s="5" t="s">
        <v>2343</v>
      </c>
    </row>
    <row r="2319" spans="1:5" x14ac:dyDescent="0.25">
      <c r="A2319" s="5">
        <f>2311</f>
      </c>
      <c r="B2319" s="5" t="s">
        <v>2354</v>
      </c>
      <c r="C2319" s="5" t="s">
        <v>11</v>
      </c>
      <c r="D2319" s="5" t="s">
        <v>12</v>
      </c>
      <c r="E2319" s="5" t="s">
        <v>2343</v>
      </c>
    </row>
    <row r="2320" spans="1:5" x14ac:dyDescent="0.25">
      <c r="A2320" s="5">
        <f>2312</f>
      </c>
      <c r="B2320" s="5" t="s">
        <v>2354</v>
      </c>
      <c r="C2320" s="5" t="s">
        <v>11</v>
      </c>
      <c r="D2320" s="5" t="s">
        <v>12</v>
      </c>
      <c r="E2320" s="5" t="s">
        <v>2343</v>
      </c>
    </row>
    <row r="2321" spans="1:5" x14ac:dyDescent="0.25">
      <c r="A2321" s="5">
        <f>2313</f>
      </c>
      <c r="B2321" s="5" t="s">
        <v>2355</v>
      </c>
      <c r="C2321" s="5" t="s">
        <v>11</v>
      </c>
      <c r="D2321" s="5" t="s">
        <v>12</v>
      </c>
      <c r="E2321" s="5" t="s">
        <v>2343</v>
      </c>
    </row>
    <row r="2322" spans="1:5" x14ac:dyDescent="0.25">
      <c r="A2322" s="5">
        <f>2314</f>
      </c>
      <c r="B2322" s="5" t="s">
        <v>2355</v>
      </c>
      <c r="C2322" s="5" t="s">
        <v>11</v>
      </c>
      <c r="D2322" s="5" t="s">
        <v>12</v>
      </c>
      <c r="E2322" s="5" t="s">
        <v>2343</v>
      </c>
    </row>
    <row r="2323" spans="1:5" x14ac:dyDescent="0.25">
      <c r="A2323" s="5">
        <f>2315</f>
      </c>
      <c r="B2323" s="5" t="s">
        <v>2356</v>
      </c>
      <c r="C2323" s="5" t="s">
        <v>11</v>
      </c>
      <c r="D2323" s="5" t="s">
        <v>12</v>
      </c>
      <c r="E2323" s="5" t="s">
        <v>2343</v>
      </c>
    </row>
    <row r="2324" spans="1:5" x14ac:dyDescent="0.25">
      <c r="A2324" s="5">
        <f>2316</f>
      </c>
      <c r="B2324" s="5" t="s">
        <v>2356</v>
      </c>
      <c r="C2324" s="5" t="s">
        <v>11</v>
      </c>
      <c r="D2324" s="5" t="s">
        <v>12</v>
      </c>
      <c r="E2324" s="5" t="s">
        <v>2343</v>
      </c>
    </row>
    <row r="2325" spans="1:5" x14ac:dyDescent="0.25">
      <c r="A2325" s="5">
        <f>2317</f>
      </c>
      <c r="B2325" s="5" t="s">
        <v>2357</v>
      </c>
      <c r="C2325" s="5" t="s">
        <v>11</v>
      </c>
      <c r="D2325" s="5" t="s">
        <v>12</v>
      </c>
      <c r="E2325" s="5" t="s">
        <v>2343</v>
      </c>
    </row>
    <row r="2326" spans="1:5" x14ac:dyDescent="0.25">
      <c r="A2326" s="5">
        <f>2318</f>
      </c>
      <c r="B2326" s="5" t="s">
        <v>2357</v>
      </c>
      <c r="C2326" s="5" t="s">
        <v>11</v>
      </c>
      <c r="D2326" s="5" t="s">
        <v>12</v>
      </c>
      <c r="E2326" s="5" t="s">
        <v>2343</v>
      </c>
    </row>
    <row r="2327" spans="1:5" x14ac:dyDescent="0.25">
      <c r="A2327" s="5">
        <f>2319</f>
      </c>
      <c r="B2327" s="5" t="s">
        <v>2358</v>
      </c>
      <c r="C2327" s="5" t="s">
        <v>11</v>
      </c>
      <c r="D2327" s="5" t="s">
        <v>12</v>
      </c>
      <c r="E2327" s="5" t="s">
        <v>2343</v>
      </c>
    </row>
    <row r="2328" spans="1:5" x14ac:dyDescent="0.25">
      <c r="A2328" s="5">
        <f>2320</f>
      </c>
      <c r="B2328" s="5" t="s">
        <v>2358</v>
      </c>
      <c r="C2328" s="5" t="s">
        <v>11</v>
      </c>
      <c r="D2328" s="5" t="s">
        <v>12</v>
      </c>
      <c r="E2328" s="5" t="s">
        <v>2343</v>
      </c>
    </row>
    <row r="2329" spans="1:5" x14ac:dyDescent="0.25">
      <c r="A2329" s="5">
        <f>2321</f>
      </c>
      <c r="B2329" s="5" t="s">
        <v>2359</v>
      </c>
      <c r="C2329" s="5" t="s">
        <v>11</v>
      </c>
      <c r="D2329" s="5" t="s">
        <v>12</v>
      </c>
      <c r="E2329" s="5" t="s">
        <v>2343</v>
      </c>
    </row>
    <row r="2330" spans="1:5" x14ac:dyDescent="0.25">
      <c r="A2330" s="5">
        <f>2322</f>
      </c>
      <c r="B2330" s="5" t="s">
        <v>2359</v>
      </c>
      <c r="C2330" s="5" t="s">
        <v>11</v>
      </c>
      <c r="D2330" s="5" t="s">
        <v>12</v>
      </c>
      <c r="E2330" s="5" t="s">
        <v>2343</v>
      </c>
    </row>
    <row r="2331" spans="1:5" x14ac:dyDescent="0.25">
      <c r="A2331" s="5">
        <f>2323</f>
      </c>
      <c r="B2331" s="5" t="s">
        <v>2360</v>
      </c>
      <c r="C2331" s="5" t="s">
        <v>11</v>
      </c>
      <c r="D2331" s="5" t="s">
        <v>12</v>
      </c>
      <c r="E2331" s="5" t="s">
        <v>2343</v>
      </c>
    </row>
    <row r="2332" spans="1:5" x14ac:dyDescent="0.25">
      <c r="A2332" s="5">
        <f>2324</f>
      </c>
      <c r="B2332" s="5" t="s">
        <v>2360</v>
      </c>
      <c r="C2332" s="5" t="s">
        <v>11</v>
      </c>
      <c r="D2332" s="5" t="s">
        <v>12</v>
      </c>
      <c r="E2332" s="5" t="s">
        <v>2343</v>
      </c>
    </row>
    <row r="2333" spans="1:5" x14ac:dyDescent="0.25">
      <c r="A2333" s="5">
        <f>2325</f>
      </c>
      <c r="B2333" s="5" t="s">
        <v>2361</v>
      </c>
      <c r="C2333" s="5" t="s">
        <v>11</v>
      </c>
      <c r="D2333" s="5" t="s">
        <v>12</v>
      </c>
      <c r="E2333" s="5" t="s">
        <v>2343</v>
      </c>
    </row>
    <row r="2334" spans="1:5" x14ac:dyDescent="0.25">
      <c r="A2334" s="5">
        <f>2326</f>
      </c>
      <c r="B2334" s="5" t="s">
        <v>2361</v>
      </c>
      <c r="C2334" s="5" t="s">
        <v>11</v>
      </c>
      <c r="D2334" s="5" t="s">
        <v>12</v>
      </c>
      <c r="E2334" s="5" t="s">
        <v>2343</v>
      </c>
    </row>
    <row r="2335" spans="1:5" x14ac:dyDescent="0.25">
      <c r="A2335" s="5">
        <f>2327</f>
      </c>
      <c r="B2335" s="5" t="s">
        <v>2362</v>
      </c>
      <c r="C2335" s="5" t="s">
        <v>11</v>
      </c>
      <c r="D2335" s="5" t="s">
        <v>12</v>
      </c>
      <c r="E2335" s="5" t="s">
        <v>2343</v>
      </c>
    </row>
    <row r="2336" spans="1:5" x14ac:dyDescent="0.25">
      <c r="A2336" s="5">
        <f>2328</f>
      </c>
      <c r="B2336" s="5" t="s">
        <v>2362</v>
      </c>
      <c r="C2336" s="5" t="s">
        <v>11</v>
      </c>
      <c r="D2336" s="5" t="s">
        <v>12</v>
      </c>
      <c r="E2336" s="5" t="s">
        <v>2343</v>
      </c>
    </row>
    <row r="2337" spans="1:5" x14ac:dyDescent="0.25">
      <c r="A2337" s="5">
        <f>2329</f>
      </c>
      <c r="B2337" s="5" t="s">
        <v>2363</v>
      </c>
      <c r="C2337" s="5" t="s">
        <v>11</v>
      </c>
      <c r="D2337" s="5" t="s">
        <v>12</v>
      </c>
      <c r="E2337" s="5" t="s">
        <v>2343</v>
      </c>
    </row>
    <row r="2338" spans="1:5" x14ac:dyDescent="0.25">
      <c r="A2338" s="5">
        <f>2330</f>
      </c>
      <c r="B2338" s="5" t="s">
        <v>2363</v>
      </c>
      <c r="C2338" s="5" t="s">
        <v>11</v>
      </c>
      <c r="D2338" s="5" t="s">
        <v>12</v>
      </c>
      <c r="E2338" s="5" t="s">
        <v>2343</v>
      </c>
    </row>
    <row r="2339" spans="1:5" x14ac:dyDescent="0.25">
      <c r="A2339" s="5">
        <f>2331</f>
      </c>
      <c r="B2339" s="5" t="s">
        <v>2364</v>
      </c>
      <c r="C2339" s="5" t="s">
        <v>11</v>
      </c>
      <c r="D2339" s="5" t="s">
        <v>12</v>
      </c>
      <c r="E2339" s="5" t="s">
        <v>2343</v>
      </c>
    </row>
    <row r="2340" spans="1:5" x14ac:dyDescent="0.25">
      <c r="A2340" s="5">
        <f>2332</f>
      </c>
      <c r="B2340" s="5" t="s">
        <v>2364</v>
      </c>
      <c r="C2340" s="5" t="s">
        <v>11</v>
      </c>
      <c r="D2340" s="5" t="s">
        <v>12</v>
      </c>
      <c r="E2340" s="5" t="s">
        <v>2343</v>
      </c>
    </row>
    <row r="2341" spans="1:5" x14ac:dyDescent="0.25">
      <c r="A2341" s="5">
        <f>2333</f>
      </c>
      <c r="B2341" s="5" t="s">
        <v>2365</v>
      </c>
      <c r="C2341" s="5" t="s">
        <v>11</v>
      </c>
      <c r="D2341" s="5" t="s">
        <v>12</v>
      </c>
      <c r="E2341" s="5" t="s">
        <v>2343</v>
      </c>
    </row>
    <row r="2342" spans="1:5" x14ac:dyDescent="0.25">
      <c r="A2342" s="5">
        <f>2334</f>
      </c>
      <c r="B2342" s="5" t="s">
        <v>2365</v>
      </c>
      <c r="C2342" s="5" t="s">
        <v>11</v>
      </c>
      <c r="D2342" s="5" t="s">
        <v>12</v>
      </c>
      <c r="E2342" s="5" t="s">
        <v>2343</v>
      </c>
    </row>
    <row r="2343" spans="1:5" x14ac:dyDescent="0.25">
      <c r="A2343" s="5">
        <f>2335</f>
      </c>
      <c r="B2343" s="5" t="s">
        <v>2366</v>
      </c>
      <c r="C2343" s="5" t="s">
        <v>11</v>
      </c>
      <c r="D2343" s="5" t="s">
        <v>12</v>
      </c>
      <c r="E2343" s="5" t="s">
        <v>2343</v>
      </c>
    </row>
    <row r="2344" spans="1:5" x14ac:dyDescent="0.25">
      <c r="A2344" s="5">
        <f>2336</f>
      </c>
      <c r="B2344" s="5" t="s">
        <v>2366</v>
      </c>
      <c r="C2344" s="5" t="s">
        <v>11</v>
      </c>
      <c r="D2344" s="5" t="s">
        <v>12</v>
      </c>
      <c r="E2344" s="5" t="s">
        <v>2343</v>
      </c>
    </row>
    <row r="2345" spans="1:5" x14ac:dyDescent="0.25">
      <c r="A2345" s="5">
        <f>2337</f>
      </c>
      <c r="B2345" s="5" t="s">
        <v>2367</v>
      </c>
      <c r="C2345" s="5" t="s">
        <v>11</v>
      </c>
      <c r="D2345" s="5" t="s">
        <v>12</v>
      </c>
      <c r="E2345" s="5" t="s">
        <v>2343</v>
      </c>
    </row>
    <row r="2346" spans="1:5" x14ac:dyDescent="0.25">
      <c r="A2346" s="5">
        <f>2338</f>
      </c>
      <c r="B2346" s="5" t="s">
        <v>2367</v>
      </c>
      <c r="C2346" s="5" t="s">
        <v>11</v>
      </c>
      <c r="D2346" s="5" t="s">
        <v>12</v>
      </c>
      <c r="E2346" s="5" t="s">
        <v>2343</v>
      </c>
    </row>
    <row r="2347" spans="1:5" x14ac:dyDescent="0.25">
      <c r="A2347" s="5">
        <f>2339</f>
      </c>
      <c r="B2347" s="5" t="s">
        <v>2368</v>
      </c>
      <c r="C2347" s="5" t="s">
        <v>11</v>
      </c>
      <c r="D2347" s="5" t="s">
        <v>12</v>
      </c>
      <c r="E2347" s="5" t="s">
        <v>2343</v>
      </c>
    </row>
    <row r="2348" spans="1:5" x14ac:dyDescent="0.25">
      <c r="A2348" s="5">
        <f>2340</f>
      </c>
      <c r="B2348" s="5" t="s">
        <v>2368</v>
      </c>
      <c r="C2348" s="5" t="s">
        <v>11</v>
      </c>
      <c r="D2348" s="5" t="s">
        <v>12</v>
      </c>
      <c r="E2348" s="5" t="s">
        <v>2343</v>
      </c>
    </row>
    <row r="2349" spans="1:5" x14ac:dyDescent="0.25">
      <c r="A2349" s="5">
        <f>2341</f>
      </c>
      <c r="B2349" s="5" t="s">
        <v>2369</v>
      </c>
      <c r="C2349" s="5" t="s">
        <v>11</v>
      </c>
      <c r="D2349" s="5" t="s">
        <v>12</v>
      </c>
      <c r="E2349" s="5" t="s">
        <v>2343</v>
      </c>
    </row>
    <row r="2350" spans="1:5" x14ac:dyDescent="0.25">
      <c r="A2350" s="5">
        <f>2342</f>
      </c>
      <c r="B2350" s="5" t="s">
        <v>2369</v>
      </c>
      <c r="C2350" s="5" t="s">
        <v>11</v>
      </c>
      <c r="D2350" s="5" t="s">
        <v>12</v>
      </c>
      <c r="E2350" s="5" t="s">
        <v>2343</v>
      </c>
    </row>
    <row r="2351" spans="1:5" x14ac:dyDescent="0.25">
      <c r="A2351" s="5">
        <f>2343</f>
      </c>
      <c r="B2351" s="5" t="s">
        <v>2370</v>
      </c>
      <c r="C2351" s="5" t="s">
        <v>11</v>
      </c>
      <c r="D2351" s="5" t="s">
        <v>12</v>
      </c>
      <c r="E2351" s="5" t="s">
        <v>2343</v>
      </c>
    </row>
    <row r="2352" spans="1:5" x14ac:dyDescent="0.25">
      <c r="A2352" s="5">
        <f>2344</f>
      </c>
      <c r="B2352" s="5" t="s">
        <v>2370</v>
      </c>
      <c r="C2352" s="5" t="s">
        <v>11</v>
      </c>
      <c r="D2352" s="5" t="s">
        <v>12</v>
      </c>
      <c r="E2352" s="5" t="s">
        <v>2343</v>
      </c>
    </row>
    <row r="2353" spans="1:5" x14ac:dyDescent="0.25">
      <c r="A2353" s="5">
        <f>2345</f>
      </c>
      <c r="B2353" s="5" t="s">
        <v>2371</v>
      </c>
      <c r="C2353" s="5" t="s">
        <v>11</v>
      </c>
      <c r="D2353" s="5" t="s">
        <v>12</v>
      </c>
      <c r="E2353" s="5" t="s">
        <v>2343</v>
      </c>
    </row>
    <row r="2354" spans="1:5" x14ac:dyDescent="0.25">
      <c r="A2354" s="5">
        <f>2346</f>
      </c>
      <c r="B2354" s="5" t="s">
        <v>2371</v>
      </c>
      <c r="C2354" s="5" t="s">
        <v>11</v>
      </c>
      <c r="D2354" s="5" t="s">
        <v>12</v>
      </c>
      <c r="E2354" s="5" t="s">
        <v>2343</v>
      </c>
    </row>
    <row r="2355" spans="1:5" x14ac:dyDescent="0.25">
      <c r="A2355" s="5">
        <f>2347</f>
      </c>
      <c r="B2355" s="5" t="s">
        <v>2372</v>
      </c>
      <c r="C2355" s="5" t="s">
        <v>11</v>
      </c>
      <c r="D2355" s="5" t="s">
        <v>12</v>
      </c>
      <c r="E2355" s="5" t="s">
        <v>2343</v>
      </c>
    </row>
    <row r="2356" spans="1:5" x14ac:dyDescent="0.25">
      <c r="A2356" s="5">
        <f>2348</f>
      </c>
      <c r="B2356" s="5" t="s">
        <v>2372</v>
      </c>
      <c r="C2356" s="5" t="s">
        <v>11</v>
      </c>
      <c r="D2356" s="5" t="s">
        <v>12</v>
      </c>
      <c r="E2356" s="5" t="s">
        <v>2343</v>
      </c>
    </row>
    <row r="2357" spans="1:5" x14ac:dyDescent="0.25">
      <c r="A2357" s="5">
        <f>2349</f>
      </c>
      <c r="B2357" s="5" t="s">
        <v>2373</v>
      </c>
      <c r="C2357" s="5" t="s">
        <v>11</v>
      </c>
      <c r="D2357" s="5" t="s">
        <v>12</v>
      </c>
      <c r="E2357" s="5" t="s">
        <v>2343</v>
      </c>
    </row>
    <row r="2358" spans="1:5" x14ac:dyDescent="0.25">
      <c r="A2358" s="5">
        <f>2350</f>
      </c>
      <c r="B2358" s="5" t="s">
        <v>2373</v>
      </c>
      <c r="C2358" s="5" t="s">
        <v>11</v>
      </c>
      <c r="D2358" s="5" t="s">
        <v>12</v>
      </c>
      <c r="E2358" s="5" t="s">
        <v>2343</v>
      </c>
    </row>
    <row r="2359" spans="1:5" x14ac:dyDescent="0.25">
      <c r="A2359" s="5">
        <f>2351</f>
      </c>
      <c r="B2359" s="5" t="s">
        <v>2374</v>
      </c>
      <c r="C2359" s="5" t="s">
        <v>11</v>
      </c>
      <c r="D2359" s="5" t="s">
        <v>12</v>
      </c>
      <c r="E2359" s="5" t="s">
        <v>2343</v>
      </c>
    </row>
    <row r="2360" spans="1:5" x14ac:dyDescent="0.25">
      <c r="A2360" s="5">
        <f>2352</f>
      </c>
      <c r="B2360" s="5" t="s">
        <v>2374</v>
      </c>
      <c r="C2360" s="5" t="s">
        <v>11</v>
      </c>
      <c r="D2360" s="5" t="s">
        <v>12</v>
      </c>
      <c r="E2360" s="5" t="s">
        <v>2343</v>
      </c>
    </row>
    <row r="2361" spans="1:5" x14ac:dyDescent="0.25">
      <c r="A2361" s="5">
        <f>2353</f>
      </c>
      <c r="B2361" s="5" t="s">
        <v>2375</v>
      </c>
      <c r="C2361" s="5" t="s">
        <v>11</v>
      </c>
      <c r="D2361" s="5" t="s">
        <v>12</v>
      </c>
      <c r="E2361" s="5" t="s">
        <v>2343</v>
      </c>
    </row>
    <row r="2362" spans="1:5" x14ac:dyDescent="0.25">
      <c r="A2362" s="5">
        <f>2354</f>
      </c>
      <c r="B2362" s="5" t="s">
        <v>2375</v>
      </c>
      <c r="C2362" s="5" t="s">
        <v>11</v>
      </c>
      <c r="D2362" s="5" t="s">
        <v>12</v>
      </c>
      <c r="E2362" s="5" t="s">
        <v>2343</v>
      </c>
    </row>
    <row r="2363" spans="1:5" x14ac:dyDescent="0.25">
      <c r="A2363" s="5">
        <f>2355</f>
      </c>
      <c r="B2363" s="5" t="s">
        <v>2376</v>
      </c>
      <c r="C2363" s="5" t="s">
        <v>11</v>
      </c>
      <c r="D2363" s="5" t="s">
        <v>12</v>
      </c>
      <c r="E2363" s="5" t="s">
        <v>2343</v>
      </c>
    </row>
    <row r="2364" spans="1:5" x14ac:dyDescent="0.25">
      <c r="A2364" s="5">
        <f>2356</f>
      </c>
      <c r="B2364" s="5" t="s">
        <v>2376</v>
      </c>
      <c r="C2364" s="5" t="s">
        <v>11</v>
      </c>
      <c r="D2364" s="5" t="s">
        <v>12</v>
      </c>
      <c r="E2364" s="5" t="s">
        <v>2343</v>
      </c>
    </row>
    <row r="2365" spans="1:5" x14ac:dyDescent="0.25">
      <c r="A2365" s="5">
        <f>2357</f>
      </c>
      <c r="B2365" s="5" t="s">
        <v>2377</v>
      </c>
      <c r="C2365" s="5" t="s">
        <v>11</v>
      </c>
      <c r="D2365" s="5" t="s">
        <v>12</v>
      </c>
      <c r="E2365" s="5" t="s">
        <v>2343</v>
      </c>
    </row>
    <row r="2366" spans="1:5" x14ac:dyDescent="0.25">
      <c r="A2366" s="5">
        <f>2358</f>
      </c>
      <c r="B2366" s="5" t="s">
        <v>2377</v>
      </c>
      <c r="C2366" s="5" t="s">
        <v>11</v>
      </c>
      <c r="D2366" s="5" t="s">
        <v>12</v>
      </c>
      <c r="E2366" s="5" t="s">
        <v>2343</v>
      </c>
    </row>
    <row r="2367" spans="1:5" x14ac:dyDescent="0.25">
      <c r="A2367" s="5">
        <f>2359</f>
      </c>
      <c r="B2367" s="5" t="s">
        <v>2378</v>
      </c>
      <c r="C2367" s="5" t="s">
        <v>11</v>
      </c>
      <c r="D2367" s="5" t="s">
        <v>12</v>
      </c>
      <c r="E2367" s="5" t="s">
        <v>2343</v>
      </c>
    </row>
    <row r="2368" spans="1:5" x14ac:dyDescent="0.25">
      <c r="A2368" s="5">
        <f>2360</f>
      </c>
      <c r="B2368" s="5" t="s">
        <v>2378</v>
      </c>
      <c r="C2368" s="5" t="s">
        <v>11</v>
      </c>
      <c r="D2368" s="5" t="s">
        <v>12</v>
      </c>
      <c r="E2368" s="5" t="s">
        <v>2343</v>
      </c>
    </row>
    <row r="2369" spans="1:5" x14ac:dyDescent="0.25">
      <c r="A2369" s="5">
        <f>2361</f>
      </c>
      <c r="B2369" s="5" t="s">
        <v>2379</v>
      </c>
      <c r="C2369" s="5" t="s">
        <v>11</v>
      </c>
      <c r="D2369" s="5" t="s">
        <v>12</v>
      </c>
      <c r="E2369" s="5" t="s">
        <v>2343</v>
      </c>
    </row>
    <row r="2370" spans="1:5" x14ac:dyDescent="0.25">
      <c r="A2370" s="5">
        <f>2362</f>
      </c>
      <c r="B2370" s="5" t="s">
        <v>2379</v>
      </c>
      <c r="C2370" s="5" t="s">
        <v>11</v>
      </c>
      <c r="D2370" s="5" t="s">
        <v>12</v>
      </c>
      <c r="E2370" s="5" t="s">
        <v>2343</v>
      </c>
    </row>
    <row r="2371" spans="1:5" x14ac:dyDescent="0.25">
      <c r="A2371" s="5">
        <f>2363</f>
      </c>
      <c r="B2371" s="5" t="s">
        <v>2380</v>
      </c>
      <c r="C2371" s="5" t="s">
        <v>11</v>
      </c>
      <c r="D2371" s="5" t="s">
        <v>12</v>
      </c>
      <c r="E2371" s="5" t="s">
        <v>2381</v>
      </c>
    </row>
    <row r="2372" spans="1:5" x14ac:dyDescent="0.25">
      <c r="A2372" s="5">
        <f>2364</f>
      </c>
      <c r="B2372" s="5" t="s">
        <v>2380</v>
      </c>
      <c r="C2372" s="5" t="s">
        <v>11</v>
      </c>
      <c r="D2372" s="5" t="s">
        <v>12</v>
      </c>
      <c r="E2372" s="5" t="s">
        <v>2381</v>
      </c>
    </row>
    <row r="2373" spans="1:5" x14ac:dyDescent="0.25">
      <c r="A2373" s="5">
        <f>2365</f>
      </c>
      <c r="B2373" s="5" t="s">
        <v>2382</v>
      </c>
      <c r="C2373" s="5" t="s">
        <v>11</v>
      </c>
      <c r="D2373" s="5" t="s">
        <v>12</v>
      </c>
      <c r="E2373" s="5" t="s">
        <v>1034</v>
      </c>
    </row>
    <row r="2374" spans="1:5" x14ac:dyDescent="0.25">
      <c r="A2374" s="5">
        <f>2366</f>
      </c>
      <c r="B2374" s="5" t="s">
        <v>2382</v>
      </c>
      <c r="C2374" s="5" t="s">
        <v>11</v>
      </c>
      <c r="D2374" s="5" t="s">
        <v>12</v>
      </c>
      <c r="E2374" s="5" t="s">
        <v>1034</v>
      </c>
    </row>
    <row r="2375" spans="1:5" x14ac:dyDescent="0.25">
      <c r="A2375" s="5">
        <f>2367</f>
      </c>
      <c r="B2375" s="5" t="s">
        <v>2383</v>
      </c>
      <c r="C2375" s="5" t="s">
        <v>11</v>
      </c>
      <c r="D2375" s="5" t="s">
        <v>12</v>
      </c>
      <c r="E2375" s="5" t="s">
        <v>2384</v>
      </c>
    </row>
    <row r="2376" spans="1:5" x14ac:dyDescent="0.25">
      <c r="A2376" s="5">
        <f>2368</f>
      </c>
      <c r="B2376" s="5" t="s">
        <v>2383</v>
      </c>
      <c r="C2376" s="5" t="s">
        <v>11</v>
      </c>
      <c r="D2376" s="5" t="s">
        <v>12</v>
      </c>
      <c r="E2376" s="5" t="s">
        <v>2384</v>
      </c>
    </row>
    <row r="2377" spans="1:5" x14ac:dyDescent="0.25">
      <c r="A2377" s="5">
        <f>2369</f>
      </c>
      <c r="B2377" s="5" t="s">
        <v>2385</v>
      </c>
      <c r="C2377" s="5" t="s">
        <v>11</v>
      </c>
      <c r="D2377" s="5" t="s">
        <v>12</v>
      </c>
      <c r="E2377" s="5" t="s">
        <v>2386</v>
      </c>
    </row>
    <row r="2378" spans="1:5" x14ac:dyDescent="0.25">
      <c r="A2378" s="5">
        <f>2370</f>
      </c>
      <c r="B2378" s="5" t="s">
        <v>2385</v>
      </c>
      <c r="C2378" s="5" t="s">
        <v>11</v>
      </c>
      <c r="D2378" s="5" t="s">
        <v>12</v>
      </c>
      <c r="E2378" s="5" t="s">
        <v>2386</v>
      </c>
    </row>
    <row r="2379" spans="1:5" x14ac:dyDescent="0.25">
      <c r="A2379" s="5">
        <f>2371</f>
      </c>
      <c r="B2379" s="5" t="s">
        <v>2387</v>
      </c>
      <c r="C2379" s="5" t="s">
        <v>11</v>
      </c>
      <c r="D2379" s="5" t="s">
        <v>12</v>
      </c>
      <c r="E2379" s="5" t="s">
        <v>957</v>
      </c>
    </row>
    <row r="2380" spans="1:5" x14ac:dyDescent="0.25">
      <c r="A2380" s="5">
        <f>2372</f>
      </c>
      <c r="B2380" s="5" t="s">
        <v>2387</v>
      </c>
      <c r="C2380" s="5" t="s">
        <v>11</v>
      </c>
      <c r="D2380" s="5" t="s">
        <v>12</v>
      </c>
      <c r="E2380" s="5" t="s">
        <v>957</v>
      </c>
    </row>
    <row r="2381" spans="1:5" x14ac:dyDescent="0.25">
      <c r="A2381" s="5">
        <f>2373</f>
      </c>
      <c r="B2381" s="5" t="s">
        <v>2388</v>
      </c>
      <c r="C2381" s="5" t="s">
        <v>11</v>
      </c>
      <c r="D2381" s="5" t="s">
        <v>12</v>
      </c>
      <c r="E2381" s="5" t="s">
        <v>2389</v>
      </c>
    </row>
    <row r="2382" spans="1:5" x14ac:dyDescent="0.25">
      <c r="A2382" s="5">
        <f>2374</f>
      </c>
      <c r="B2382" s="5" t="s">
        <v>2388</v>
      </c>
      <c r="C2382" s="5" t="s">
        <v>11</v>
      </c>
      <c r="D2382" s="5" t="s">
        <v>12</v>
      </c>
      <c r="E2382" s="5" t="s">
        <v>2389</v>
      </c>
    </row>
    <row r="2383" spans="1:5" x14ac:dyDescent="0.25">
      <c r="A2383" s="5">
        <f>2375</f>
      </c>
      <c r="B2383" s="5" t="s">
        <v>2390</v>
      </c>
      <c r="C2383" s="5" t="s">
        <v>11</v>
      </c>
      <c r="D2383" s="5" t="s">
        <v>12</v>
      </c>
      <c r="E2383" s="5" t="s">
        <v>990</v>
      </c>
    </row>
    <row r="2384" spans="1:5" x14ac:dyDescent="0.25">
      <c r="A2384" s="5">
        <f>2376</f>
      </c>
      <c r="B2384" s="5" t="s">
        <v>2390</v>
      </c>
      <c r="C2384" s="5" t="s">
        <v>11</v>
      </c>
      <c r="D2384" s="5" t="s">
        <v>12</v>
      </c>
      <c r="E2384" s="5" t="s">
        <v>990</v>
      </c>
    </row>
    <row r="2385" spans="1:5" x14ac:dyDescent="0.25">
      <c r="A2385" s="5">
        <f>2377</f>
      </c>
      <c r="B2385" s="5" t="s">
        <v>2391</v>
      </c>
      <c r="C2385" s="5" t="s">
        <v>11</v>
      </c>
      <c r="D2385" s="5" t="s">
        <v>12</v>
      </c>
      <c r="E2385" s="5" t="s">
        <v>990</v>
      </c>
    </row>
    <row r="2386" spans="1:5" x14ac:dyDescent="0.25">
      <c r="A2386" s="5">
        <f>2378</f>
      </c>
      <c r="B2386" s="5" t="s">
        <v>2391</v>
      </c>
      <c r="C2386" s="5" t="s">
        <v>11</v>
      </c>
      <c r="D2386" s="5" t="s">
        <v>12</v>
      </c>
      <c r="E2386" s="5" t="s">
        <v>990</v>
      </c>
    </row>
    <row r="2387" spans="1:5" x14ac:dyDescent="0.25">
      <c r="A2387" s="5">
        <f>2379</f>
      </c>
      <c r="B2387" s="5" t="s">
        <v>2392</v>
      </c>
      <c r="C2387" s="5" t="s">
        <v>11</v>
      </c>
      <c r="D2387" s="5" t="s">
        <v>12</v>
      </c>
      <c r="E2387" s="5" t="s">
        <v>892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892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2394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2394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2396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2396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2398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2398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2400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2400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2402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2402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2404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2404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828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828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2407</v>
      </c>
    </row>
    <row r="2404" spans="1:5" x14ac:dyDescent="0.25">
      <c r="A2404" s="5">
        <f>2396</f>
      </c>
      <c r="B2404" s="5" t="s">
        <v>2406</v>
      </c>
      <c r="C2404" s="5" t="s">
        <v>11</v>
      </c>
      <c r="D2404" s="5" t="s">
        <v>12</v>
      </c>
      <c r="E2404" s="5" t="s">
        <v>2407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2409</v>
      </c>
    </row>
    <row r="2406" spans="1:5" x14ac:dyDescent="0.25">
      <c r="A2406" s="5">
        <f>2398</f>
      </c>
      <c r="B2406" s="5" t="s">
        <v>2408</v>
      </c>
      <c r="C2406" s="5" t="s">
        <v>11</v>
      </c>
      <c r="D2406" s="5" t="s">
        <v>12</v>
      </c>
      <c r="E2406" s="5" t="s">
        <v>2409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770</v>
      </c>
    </row>
    <row r="2408" spans="1:5" x14ac:dyDescent="0.25">
      <c r="A2408" s="5">
        <f>2400</f>
      </c>
      <c r="B2408" s="5" t="s">
        <v>2410</v>
      </c>
      <c r="C2408" s="5" t="s">
        <v>11</v>
      </c>
      <c r="D2408" s="5" t="s">
        <v>12</v>
      </c>
      <c r="E2408" s="5" t="s">
        <v>770</v>
      </c>
    </row>
    <row r="2409" spans="1:5" x14ac:dyDescent="0.25">
      <c r="A2409" s="5">
        <f>2401</f>
      </c>
      <c r="B2409" s="5" t="s">
        <v>2411</v>
      </c>
      <c r="C2409" s="5" t="s">
        <v>11</v>
      </c>
      <c r="D2409" s="5" t="s">
        <v>12</v>
      </c>
      <c r="E2409" s="5" t="s">
        <v>2412</v>
      </c>
    </row>
    <row r="2410" spans="1:5" x14ac:dyDescent="0.25">
      <c r="A2410" s="5">
        <f>2402</f>
      </c>
      <c r="B2410" s="5" t="s">
        <v>2411</v>
      </c>
      <c r="C2410" s="5" t="s">
        <v>11</v>
      </c>
      <c r="D2410" s="5" t="s">
        <v>12</v>
      </c>
      <c r="E2410" s="5" t="s">
        <v>2412</v>
      </c>
    </row>
    <row r="2411" spans="1:5" x14ac:dyDescent="0.25">
      <c r="A2411" s="5">
        <f>2403</f>
      </c>
      <c r="B2411" s="5" t="s">
        <v>2413</v>
      </c>
      <c r="C2411" s="5" t="s">
        <v>11</v>
      </c>
      <c r="D2411" s="5" t="s">
        <v>12</v>
      </c>
      <c r="E2411" s="5" t="s">
        <v>2257</v>
      </c>
    </row>
    <row r="2412" spans="1:5" x14ac:dyDescent="0.25">
      <c r="A2412" s="5">
        <f>2404</f>
      </c>
      <c r="B2412" s="5" t="s">
        <v>2413</v>
      </c>
      <c r="C2412" s="5" t="s">
        <v>11</v>
      </c>
      <c r="D2412" s="5" t="s">
        <v>12</v>
      </c>
      <c r="E2412" s="5" t="s">
        <v>2257</v>
      </c>
    </row>
    <row r="2413" spans="1:5" x14ac:dyDescent="0.25">
      <c r="A2413" s="5">
        <f>2405</f>
      </c>
      <c r="B2413" s="5" t="s">
        <v>2414</v>
      </c>
      <c r="C2413" s="5" t="s">
        <v>11</v>
      </c>
      <c r="D2413" s="5" t="s">
        <v>12</v>
      </c>
      <c r="E2413" s="5" t="s">
        <v>2300</v>
      </c>
    </row>
    <row r="2414" spans="1:5" x14ac:dyDescent="0.25">
      <c r="A2414" s="5">
        <f>2406</f>
      </c>
      <c r="B2414" s="5" t="s">
        <v>2414</v>
      </c>
      <c r="C2414" s="5" t="s">
        <v>11</v>
      </c>
      <c r="D2414" s="5" t="s">
        <v>12</v>
      </c>
      <c r="E2414" s="5" t="s">
        <v>2300</v>
      </c>
    </row>
    <row r="2415" spans="1:5" x14ac:dyDescent="0.25">
      <c r="A2415" s="5">
        <f>2407</f>
      </c>
      <c r="B2415" s="5" t="s">
        <v>2415</v>
      </c>
      <c r="C2415" s="5" t="s">
        <v>11</v>
      </c>
      <c r="D2415" s="5" t="s">
        <v>12</v>
      </c>
      <c r="E2415" s="5" t="s">
        <v>2300</v>
      </c>
    </row>
    <row r="2416" spans="1:5" x14ac:dyDescent="0.25">
      <c r="A2416" s="5">
        <f>2408</f>
      </c>
      <c r="B2416" s="5" t="s">
        <v>2415</v>
      </c>
      <c r="C2416" s="5" t="s">
        <v>11</v>
      </c>
      <c r="D2416" s="5" t="s">
        <v>12</v>
      </c>
      <c r="E2416" s="5" t="s">
        <v>2300</v>
      </c>
    </row>
    <row r="2417" spans="1:5" x14ac:dyDescent="0.25">
      <c r="A2417" s="5">
        <f>2409</f>
      </c>
      <c r="B2417" s="5" t="s">
        <v>2416</v>
      </c>
      <c r="C2417" s="5" t="s">
        <v>11</v>
      </c>
      <c r="D2417" s="5" t="s">
        <v>12</v>
      </c>
      <c r="E2417" s="5" t="s">
        <v>2300</v>
      </c>
    </row>
    <row r="2418" spans="1:5" x14ac:dyDescent="0.25">
      <c r="A2418" s="5">
        <f>2410</f>
      </c>
      <c r="B2418" s="5" t="s">
        <v>2416</v>
      </c>
      <c r="C2418" s="5" t="s">
        <v>11</v>
      </c>
      <c r="D2418" s="5" t="s">
        <v>12</v>
      </c>
      <c r="E2418" s="5" t="s">
        <v>2300</v>
      </c>
    </row>
    <row r="2419" spans="1:5" x14ac:dyDescent="0.25">
      <c r="A2419" s="5">
        <f>2411</f>
      </c>
      <c r="B2419" s="5" t="s">
        <v>2417</v>
      </c>
      <c r="C2419" s="5" t="s">
        <v>11</v>
      </c>
      <c r="D2419" s="5" t="s">
        <v>12</v>
      </c>
      <c r="E2419" s="5" t="s">
        <v>2300</v>
      </c>
    </row>
    <row r="2420" spans="1:5" x14ac:dyDescent="0.25">
      <c r="A2420" s="5">
        <f>2412</f>
      </c>
      <c r="B2420" s="5" t="s">
        <v>2417</v>
      </c>
      <c r="C2420" s="5" t="s">
        <v>11</v>
      </c>
      <c r="D2420" s="5" t="s">
        <v>12</v>
      </c>
      <c r="E2420" s="5" t="s">
        <v>2300</v>
      </c>
    </row>
    <row r="2421" spans="1:5" x14ac:dyDescent="0.25">
      <c r="A2421" s="5">
        <f>2413</f>
      </c>
      <c r="B2421" s="5" t="s">
        <v>2418</v>
      </c>
      <c r="C2421" s="5" t="s">
        <v>11</v>
      </c>
      <c r="D2421" s="5" t="s">
        <v>12</v>
      </c>
      <c r="E2421" s="5" t="s">
        <v>2300</v>
      </c>
    </row>
    <row r="2422" spans="1:5" x14ac:dyDescent="0.25">
      <c r="A2422" s="5">
        <f>2414</f>
      </c>
      <c r="B2422" s="5" t="s">
        <v>2418</v>
      </c>
      <c r="C2422" s="5" t="s">
        <v>11</v>
      </c>
      <c r="D2422" s="5" t="s">
        <v>12</v>
      </c>
      <c r="E2422" s="5" t="s">
        <v>2300</v>
      </c>
    </row>
    <row r="2423" spans="1:5" x14ac:dyDescent="0.25">
      <c r="A2423" s="5">
        <f>2415</f>
      </c>
      <c r="B2423" s="5" t="s">
        <v>2419</v>
      </c>
      <c r="C2423" s="5" t="s">
        <v>11</v>
      </c>
      <c r="D2423" s="5" t="s">
        <v>12</v>
      </c>
      <c r="E2423" s="5" t="s">
        <v>2300</v>
      </c>
    </row>
    <row r="2424" spans="1:5" x14ac:dyDescent="0.25">
      <c r="A2424" s="5">
        <f>2416</f>
      </c>
      <c r="B2424" s="5" t="s">
        <v>2419</v>
      </c>
      <c r="C2424" s="5" t="s">
        <v>11</v>
      </c>
      <c r="D2424" s="5" t="s">
        <v>12</v>
      </c>
      <c r="E2424" s="5" t="s">
        <v>2300</v>
      </c>
    </row>
    <row r="2425" spans="1:5" x14ac:dyDescent="0.25">
      <c r="A2425" s="5">
        <f>2417</f>
      </c>
      <c r="B2425" s="5" t="s">
        <v>2420</v>
      </c>
      <c r="C2425" s="5" t="s">
        <v>11</v>
      </c>
      <c r="D2425" s="5" t="s">
        <v>12</v>
      </c>
      <c r="E2425" s="5" t="s">
        <v>2300</v>
      </c>
    </row>
    <row r="2426" spans="1:5" x14ac:dyDescent="0.25">
      <c r="A2426" s="5">
        <f>2418</f>
      </c>
      <c r="B2426" s="5" t="s">
        <v>2420</v>
      </c>
      <c r="C2426" s="5" t="s">
        <v>11</v>
      </c>
      <c r="D2426" s="5" t="s">
        <v>12</v>
      </c>
      <c r="E2426" s="5" t="s">
        <v>2300</v>
      </c>
    </row>
    <row r="2427" spans="1:5" x14ac:dyDescent="0.25">
      <c r="A2427" s="5">
        <f>2419</f>
      </c>
      <c r="B2427" s="5" t="s">
        <v>2421</v>
      </c>
      <c r="C2427" s="5" t="s">
        <v>11</v>
      </c>
      <c r="D2427" s="5" t="s">
        <v>12</v>
      </c>
      <c r="E2427" s="5" t="s">
        <v>2300</v>
      </c>
    </row>
    <row r="2428" spans="1:5" x14ac:dyDescent="0.25">
      <c r="A2428" s="5">
        <f>2420</f>
      </c>
      <c r="B2428" s="5" t="s">
        <v>2421</v>
      </c>
      <c r="C2428" s="5" t="s">
        <v>11</v>
      </c>
      <c r="D2428" s="5" t="s">
        <v>12</v>
      </c>
      <c r="E2428" s="5" t="s">
        <v>2300</v>
      </c>
    </row>
    <row r="2429" spans="1:5" x14ac:dyDescent="0.25">
      <c r="A2429" s="5">
        <f>2421</f>
      </c>
      <c r="B2429" s="5" t="s">
        <v>2422</v>
      </c>
      <c r="C2429" s="5" t="s">
        <v>11</v>
      </c>
      <c r="D2429" s="5" t="s">
        <v>12</v>
      </c>
      <c r="E2429" s="5" t="s">
        <v>2300</v>
      </c>
    </row>
    <row r="2430" spans="1:5" x14ac:dyDescent="0.25">
      <c r="A2430" s="5">
        <f>2422</f>
      </c>
      <c r="B2430" s="5" t="s">
        <v>2422</v>
      </c>
      <c r="C2430" s="5" t="s">
        <v>11</v>
      </c>
      <c r="D2430" s="5" t="s">
        <v>12</v>
      </c>
      <c r="E2430" s="5" t="s">
        <v>2300</v>
      </c>
    </row>
    <row r="2431" spans="1:5" x14ac:dyDescent="0.25">
      <c r="A2431" s="5">
        <f>2423</f>
      </c>
      <c r="B2431" s="5" t="s">
        <v>2423</v>
      </c>
      <c r="C2431" s="5" t="s">
        <v>11</v>
      </c>
      <c r="D2431" s="5" t="s">
        <v>12</v>
      </c>
      <c r="E2431" s="5" t="s">
        <v>2300</v>
      </c>
    </row>
    <row r="2432" spans="1:5" x14ac:dyDescent="0.25">
      <c r="A2432" s="5">
        <f>2424</f>
      </c>
      <c r="B2432" s="5" t="s">
        <v>2423</v>
      </c>
      <c r="C2432" s="5" t="s">
        <v>11</v>
      </c>
      <c r="D2432" s="5" t="s">
        <v>12</v>
      </c>
      <c r="E2432" s="5" t="s">
        <v>2300</v>
      </c>
    </row>
    <row r="2433" spans="1:5" x14ac:dyDescent="0.25">
      <c r="A2433" s="5">
        <f>2425</f>
      </c>
      <c r="B2433" s="5" t="s">
        <v>2424</v>
      </c>
      <c r="C2433" s="5" t="s">
        <v>11</v>
      </c>
      <c r="D2433" s="5" t="s">
        <v>12</v>
      </c>
      <c r="E2433" s="5" t="s">
        <v>2300</v>
      </c>
    </row>
    <row r="2434" spans="1:5" x14ac:dyDescent="0.25">
      <c r="A2434" s="5">
        <f>2426</f>
      </c>
      <c r="B2434" s="5" t="s">
        <v>2424</v>
      </c>
      <c r="C2434" s="5" t="s">
        <v>11</v>
      </c>
      <c r="D2434" s="5" t="s">
        <v>12</v>
      </c>
      <c r="E2434" s="5" t="s">
        <v>2300</v>
      </c>
    </row>
    <row r="2435" spans="1:5" x14ac:dyDescent="0.25">
      <c r="A2435" s="5">
        <f>2427</f>
      </c>
      <c r="B2435" s="5" t="s">
        <v>2425</v>
      </c>
      <c r="C2435" s="5" t="s">
        <v>11</v>
      </c>
      <c r="D2435" s="5" t="s">
        <v>12</v>
      </c>
      <c r="E2435" s="5" t="s">
        <v>2300</v>
      </c>
    </row>
    <row r="2436" spans="1:5" x14ac:dyDescent="0.25">
      <c r="A2436" s="5">
        <f>2428</f>
      </c>
      <c r="B2436" s="5" t="s">
        <v>2425</v>
      </c>
      <c r="C2436" s="5" t="s">
        <v>11</v>
      </c>
      <c r="D2436" s="5" t="s">
        <v>12</v>
      </c>
      <c r="E2436" s="5" t="s">
        <v>2300</v>
      </c>
    </row>
    <row r="2437" spans="1:5" x14ac:dyDescent="0.25">
      <c r="A2437" s="5">
        <f>2429</f>
      </c>
      <c r="B2437" s="5" t="s">
        <v>2426</v>
      </c>
      <c r="C2437" s="5" t="s">
        <v>11</v>
      </c>
      <c r="D2437" s="5" t="s">
        <v>12</v>
      </c>
      <c r="E2437" s="5" t="s">
        <v>2300</v>
      </c>
    </row>
    <row r="2438" spans="1:5" x14ac:dyDescent="0.25">
      <c r="A2438" s="5">
        <f>2430</f>
      </c>
      <c r="B2438" s="5" t="s">
        <v>2426</v>
      </c>
      <c r="C2438" s="5" t="s">
        <v>11</v>
      </c>
      <c r="D2438" s="5" t="s">
        <v>12</v>
      </c>
      <c r="E2438" s="5" t="s">
        <v>2300</v>
      </c>
    </row>
    <row r="2439" spans="1:5" x14ac:dyDescent="0.25">
      <c r="A2439" s="5">
        <f>2431</f>
      </c>
      <c r="B2439" s="5" t="s">
        <v>2427</v>
      </c>
      <c r="C2439" s="5" t="s">
        <v>11</v>
      </c>
      <c r="D2439" s="5" t="s">
        <v>12</v>
      </c>
      <c r="E2439" s="5" t="s">
        <v>2300</v>
      </c>
    </row>
    <row r="2440" spans="1:5" x14ac:dyDescent="0.25">
      <c r="A2440" s="5">
        <f>2432</f>
      </c>
      <c r="B2440" s="5" t="s">
        <v>2427</v>
      </c>
      <c r="C2440" s="5" t="s">
        <v>11</v>
      </c>
      <c r="D2440" s="5" t="s">
        <v>12</v>
      </c>
      <c r="E2440" s="5" t="s">
        <v>2300</v>
      </c>
    </row>
    <row r="2441" spans="1:5" x14ac:dyDescent="0.25">
      <c r="A2441" s="5">
        <f>2433</f>
      </c>
      <c r="B2441" s="5" t="s">
        <v>2428</v>
      </c>
      <c r="C2441" s="5" t="s">
        <v>11</v>
      </c>
      <c r="D2441" s="5" t="s">
        <v>12</v>
      </c>
      <c r="E2441" s="5" t="s">
        <v>2300</v>
      </c>
    </row>
    <row r="2442" spans="1:5" x14ac:dyDescent="0.25">
      <c r="A2442" s="5">
        <f>2434</f>
      </c>
      <c r="B2442" s="5" t="s">
        <v>2428</v>
      </c>
      <c r="C2442" s="5" t="s">
        <v>11</v>
      </c>
      <c r="D2442" s="5" t="s">
        <v>12</v>
      </c>
      <c r="E2442" s="5" t="s">
        <v>2300</v>
      </c>
    </row>
    <row r="2443" spans="1:5" x14ac:dyDescent="0.25">
      <c r="A2443" s="5">
        <f>2435</f>
      </c>
      <c r="B2443" s="5" t="s">
        <v>2429</v>
      </c>
      <c r="C2443" s="5" t="s">
        <v>11</v>
      </c>
      <c r="D2443" s="5" t="s">
        <v>12</v>
      </c>
      <c r="E2443" s="5" t="s">
        <v>2300</v>
      </c>
    </row>
    <row r="2444" spans="1:5" x14ac:dyDescent="0.25">
      <c r="A2444" s="5">
        <f>2436</f>
      </c>
      <c r="B2444" s="5" t="s">
        <v>2429</v>
      </c>
      <c r="C2444" s="5" t="s">
        <v>11</v>
      </c>
      <c r="D2444" s="5" t="s">
        <v>12</v>
      </c>
      <c r="E2444" s="5" t="s">
        <v>2300</v>
      </c>
    </row>
    <row r="2445" spans="1:5" x14ac:dyDescent="0.25">
      <c r="A2445" s="5">
        <f>2437</f>
      </c>
      <c r="B2445" s="5" t="s">
        <v>2430</v>
      </c>
      <c r="C2445" s="5" t="s">
        <v>11</v>
      </c>
      <c r="D2445" s="5" t="s">
        <v>12</v>
      </c>
      <c r="E2445" s="5" t="s">
        <v>2300</v>
      </c>
    </row>
    <row r="2446" spans="1:5" x14ac:dyDescent="0.25">
      <c r="A2446" s="5">
        <f>2438</f>
      </c>
      <c r="B2446" s="5" t="s">
        <v>2430</v>
      </c>
      <c r="C2446" s="5" t="s">
        <v>11</v>
      </c>
      <c r="D2446" s="5" t="s">
        <v>12</v>
      </c>
      <c r="E2446" s="5" t="s">
        <v>2300</v>
      </c>
    </row>
    <row r="2447" spans="1:5" x14ac:dyDescent="0.25">
      <c r="A2447" s="5">
        <f>2439</f>
      </c>
      <c r="B2447" s="5" t="s">
        <v>2431</v>
      </c>
      <c r="C2447" s="5" t="s">
        <v>11</v>
      </c>
      <c r="D2447" s="5" t="s">
        <v>12</v>
      </c>
      <c r="E2447" s="5" t="s">
        <v>2300</v>
      </c>
    </row>
    <row r="2448" spans="1:5" x14ac:dyDescent="0.25">
      <c r="A2448" s="5">
        <f>2440</f>
      </c>
      <c r="B2448" s="5" t="s">
        <v>2431</v>
      </c>
      <c r="C2448" s="5" t="s">
        <v>11</v>
      </c>
      <c r="D2448" s="5" t="s">
        <v>12</v>
      </c>
      <c r="E2448" s="5" t="s">
        <v>2300</v>
      </c>
    </row>
    <row r="2449" spans="1:5" x14ac:dyDescent="0.25">
      <c r="A2449" s="5">
        <f>2441</f>
      </c>
      <c r="B2449" s="5" t="s">
        <v>2432</v>
      </c>
      <c r="C2449" s="5" t="s">
        <v>11</v>
      </c>
      <c r="D2449" s="5" t="s">
        <v>12</v>
      </c>
      <c r="E2449" s="5" t="s">
        <v>2300</v>
      </c>
    </row>
    <row r="2450" spans="1:5" x14ac:dyDescent="0.25">
      <c r="A2450" s="5">
        <f>2442</f>
      </c>
      <c r="B2450" s="5" t="s">
        <v>2432</v>
      </c>
      <c r="C2450" s="5" t="s">
        <v>11</v>
      </c>
      <c r="D2450" s="5" t="s">
        <v>12</v>
      </c>
      <c r="E2450" s="5" t="s">
        <v>2300</v>
      </c>
    </row>
    <row r="2451" spans="1:5" x14ac:dyDescent="0.25">
      <c r="A2451" s="5">
        <f>2443</f>
      </c>
      <c r="B2451" s="5" t="s">
        <v>2433</v>
      </c>
      <c r="C2451" s="5" t="s">
        <v>11</v>
      </c>
      <c r="D2451" s="5" t="s">
        <v>12</v>
      </c>
      <c r="E2451" s="5" t="s">
        <v>2300</v>
      </c>
    </row>
    <row r="2452" spans="1:5" x14ac:dyDescent="0.25">
      <c r="A2452" s="5">
        <f>2444</f>
      </c>
      <c r="B2452" s="5" t="s">
        <v>2433</v>
      </c>
      <c r="C2452" s="5" t="s">
        <v>11</v>
      </c>
      <c r="D2452" s="5" t="s">
        <v>12</v>
      </c>
      <c r="E2452" s="5" t="s">
        <v>2300</v>
      </c>
    </row>
    <row r="2453" spans="1:5" x14ac:dyDescent="0.25">
      <c r="A2453" s="5">
        <f>2445</f>
      </c>
      <c r="B2453" s="5" t="s">
        <v>2434</v>
      </c>
      <c r="C2453" s="5" t="s">
        <v>11</v>
      </c>
      <c r="D2453" s="5" t="s">
        <v>12</v>
      </c>
      <c r="E2453" s="5" t="s">
        <v>2300</v>
      </c>
    </row>
    <row r="2454" spans="1:5" x14ac:dyDescent="0.25">
      <c r="A2454" s="5">
        <f>2446</f>
      </c>
      <c r="B2454" s="5" t="s">
        <v>2434</v>
      </c>
      <c r="C2454" s="5" t="s">
        <v>11</v>
      </c>
      <c r="D2454" s="5" t="s">
        <v>12</v>
      </c>
      <c r="E2454" s="5" t="s">
        <v>2300</v>
      </c>
    </row>
    <row r="2455" spans="1:5" x14ac:dyDescent="0.25">
      <c r="A2455" s="5">
        <f>2447</f>
      </c>
      <c r="B2455" s="5" t="s">
        <v>2435</v>
      </c>
      <c r="C2455" s="5" t="s">
        <v>11</v>
      </c>
      <c r="D2455" s="5" t="s">
        <v>12</v>
      </c>
      <c r="E2455" s="5" t="s">
        <v>2300</v>
      </c>
    </row>
    <row r="2456" spans="1:5" x14ac:dyDescent="0.25">
      <c r="A2456" s="5">
        <f>2448</f>
      </c>
      <c r="B2456" s="5" t="s">
        <v>2435</v>
      </c>
      <c r="C2456" s="5" t="s">
        <v>11</v>
      </c>
      <c r="D2456" s="5" t="s">
        <v>12</v>
      </c>
      <c r="E2456" s="5" t="s">
        <v>2300</v>
      </c>
    </row>
    <row r="2457" spans="1:5" x14ac:dyDescent="0.25">
      <c r="A2457" s="5">
        <f>2449</f>
      </c>
      <c r="B2457" s="5" t="s">
        <v>2436</v>
      </c>
      <c r="C2457" s="5" t="s">
        <v>11</v>
      </c>
      <c r="D2457" s="5" t="s">
        <v>12</v>
      </c>
      <c r="E2457" s="5" t="s">
        <v>2300</v>
      </c>
    </row>
    <row r="2458" spans="1:5" x14ac:dyDescent="0.25">
      <c r="A2458" s="5">
        <f>2450</f>
      </c>
      <c r="B2458" s="5" t="s">
        <v>2436</v>
      </c>
      <c r="C2458" s="5" t="s">
        <v>11</v>
      </c>
      <c r="D2458" s="5" t="s">
        <v>12</v>
      </c>
      <c r="E2458" s="5" t="s">
        <v>2300</v>
      </c>
    </row>
    <row r="2459" spans="1:5" x14ac:dyDescent="0.25">
      <c r="A2459" s="5">
        <f>2451</f>
      </c>
      <c r="B2459" s="5" t="s">
        <v>2437</v>
      </c>
      <c r="C2459" s="5" t="s">
        <v>11</v>
      </c>
      <c r="D2459" s="5" t="s">
        <v>12</v>
      </c>
      <c r="E2459" s="5" t="s">
        <v>2300</v>
      </c>
    </row>
    <row r="2460" spans="1:5" x14ac:dyDescent="0.25">
      <c r="A2460" s="5">
        <f>2452</f>
      </c>
      <c r="B2460" s="5" t="s">
        <v>2437</v>
      </c>
      <c r="C2460" s="5" t="s">
        <v>11</v>
      </c>
      <c r="D2460" s="5" t="s">
        <v>12</v>
      </c>
      <c r="E2460" s="5" t="s">
        <v>2300</v>
      </c>
    </row>
    <row r="2461" spans="1:5" x14ac:dyDescent="0.25">
      <c r="A2461" s="5">
        <f>2453</f>
      </c>
      <c r="B2461" s="5" t="s">
        <v>2438</v>
      </c>
      <c r="C2461" s="5" t="s">
        <v>11</v>
      </c>
      <c r="D2461" s="5" t="s">
        <v>12</v>
      </c>
      <c r="E2461" s="5" t="s">
        <v>2300</v>
      </c>
    </row>
    <row r="2462" spans="1:5" x14ac:dyDescent="0.25">
      <c r="A2462" s="5">
        <f>2454</f>
      </c>
      <c r="B2462" s="5" t="s">
        <v>2438</v>
      </c>
      <c r="C2462" s="5" t="s">
        <v>11</v>
      </c>
      <c r="D2462" s="5" t="s">
        <v>12</v>
      </c>
      <c r="E2462" s="5" t="s">
        <v>2300</v>
      </c>
    </row>
    <row r="2463" spans="1:5" x14ac:dyDescent="0.25">
      <c r="A2463" s="5">
        <f>2455</f>
      </c>
      <c r="B2463" s="5" t="s">
        <v>2439</v>
      </c>
      <c r="C2463" s="5" t="s">
        <v>11</v>
      </c>
      <c r="D2463" s="5" t="s">
        <v>12</v>
      </c>
      <c r="E2463" s="5" t="s">
        <v>2300</v>
      </c>
    </row>
    <row r="2464" spans="1:5" x14ac:dyDescent="0.25">
      <c r="A2464" s="5">
        <f>2456</f>
      </c>
      <c r="B2464" s="5" t="s">
        <v>2439</v>
      </c>
      <c r="C2464" s="5" t="s">
        <v>11</v>
      </c>
      <c r="D2464" s="5" t="s">
        <v>12</v>
      </c>
      <c r="E2464" s="5" t="s">
        <v>2300</v>
      </c>
    </row>
    <row r="2465" spans="1:5" x14ac:dyDescent="0.25">
      <c r="A2465" s="5">
        <f>2457</f>
      </c>
      <c r="B2465" s="5" t="s">
        <v>2440</v>
      </c>
      <c r="C2465" s="5" t="s">
        <v>11</v>
      </c>
      <c r="D2465" s="5" t="s">
        <v>12</v>
      </c>
      <c r="E2465" s="5" t="s">
        <v>2300</v>
      </c>
    </row>
    <row r="2466" spans="1:5" x14ac:dyDescent="0.25">
      <c r="A2466" s="5">
        <f>2458</f>
      </c>
      <c r="B2466" s="5" t="s">
        <v>2440</v>
      </c>
      <c r="C2466" s="5" t="s">
        <v>11</v>
      </c>
      <c r="D2466" s="5" t="s">
        <v>12</v>
      </c>
      <c r="E2466" s="5" t="s">
        <v>2300</v>
      </c>
    </row>
    <row r="2467" spans="1:5" x14ac:dyDescent="0.25">
      <c r="A2467" s="5">
        <f>2459</f>
      </c>
      <c r="B2467" s="5" t="s">
        <v>2441</v>
      </c>
      <c r="C2467" s="5" t="s">
        <v>11</v>
      </c>
      <c r="D2467" s="5" t="s">
        <v>12</v>
      </c>
      <c r="E2467" s="5" t="s">
        <v>2300</v>
      </c>
    </row>
    <row r="2468" spans="1:5" x14ac:dyDescent="0.25">
      <c r="A2468" s="5">
        <f>2460</f>
      </c>
      <c r="B2468" s="5" t="s">
        <v>2441</v>
      </c>
      <c r="C2468" s="5" t="s">
        <v>11</v>
      </c>
      <c r="D2468" s="5" t="s">
        <v>12</v>
      </c>
      <c r="E2468" s="5" t="s">
        <v>2300</v>
      </c>
    </row>
    <row r="2469" spans="1:5" x14ac:dyDescent="0.25">
      <c r="A2469" s="5">
        <f>2461</f>
      </c>
      <c r="B2469" s="5" t="s">
        <v>2442</v>
      </c>
      <c r="C2469" s="5" t="s">
        <v>11</v>
      </c>
      <c r="D2469" s="5" t="s">
        <v>12</v>
      </c>
      <c r="E2469" s="5" t="s">
        <v>2300</v>
      </c>
    </row>
    <row r="2470" spans="1:5" x14ac:dyDescent="0.25">
      <c r="A2470" s="5">
        <f>2462</f>
      </c>
      <c r="B2470" s="5" t="s">
        <v>2442</v>
      </c>
      <c r="C2470" s="5" t="s">
        <v>11</v>
      </c>
      <c r="D2470" s="5" t="s">
        <v>12</v>
      </c>
      <c r="E2470" s="5" t="s">
        <v>2300</v>
      </c>
    </row>
    <row r="2471" spans="1:5" x14ac:dyDescent="0.25">
      <c r="A2471" s="5">
        <f>2463</f>
      </c>
      <c r="B2471" s="5" t="s">
        <v>2443</v>
      </c>
      <c r="C2471" s="5" t="s">
        <v>11</v>
      </c>
      <c r="D2471" s="5" t="s">
        <v>12</v>
      </c>
      <c r="E2471" s="5" t="s">
        <v>2300</v>
      </c>
    </row>
    <row r="2472" spans="1:5" x14ac:dyDescent="0.25">
      <c r="A2472" s="5">
        <f>2464</f>
      </c>
      <c r="B2472" s="5" t="s">
        <v>2443</v>
      </c>
      <c r="C2472" s="5" t="s">
        <v>11</v>
      </c>
      <c r="D2472" s="5" t="s">
        <v>12</v>
      </c>
      <c r="E2472" s="5" t="s">
        <v>2300</v>
      </c>
    </row>
    <row r="2473" spans="1:5" x14ac:dyDescent="0.25">
      <c r="A2473" s="5">
        <f>2465</f>
      </c>
      <c r="B2473" s="5" t="s">
        <v>2444</v>
      </c>
      <c r="C2473" s="5" t="s">
        <v>11</v>
      </c>
      <c r="D2473" s="5" t="s">
        <v>12</v>
      </c>
      <c r="E2473" s="5" t="s">
        <v>2300</v>
      </c>
    </row>
    <row r="2474" spans="1:5" x14ac:dyDescent="0.25">
      <c r="A2474" s="5">
        <f>2466</f>
      </c>
      <c r="B2474" s="5" t="s">
        <v>2444</v>
      </c>
      <c r="C2474" s="5" t="s">
        <v>11</v>
      </c>
      <c r="D2474" s="5" t="s">
        <v>12</v>
      </c>
      <c r="E2474" s="5" t="s">
        <v>2300</v>
      </c>
    </row>
    <row r="2475" spans="1:5" x14ac:dyDescent="0.25">
      <c r="A2475" s="5">
        <f>2467</f>
      </c>
      <c r="B2475" s="5" t="s">
        <v>2445</v>
      </c>
      <c r="C2475" s="5" t="s">
        <v>11</v>
      </c>
      <c r="D2475" s="5" t="s">
        <v>12</v>
      </c>
      <c r="E2475" s="5" t="s">
        <v>2300</v>
      </c>
    </row>
    <row r="2476" spans="1:5" x14ac:dyDescent="0.25">
      <c r="A2476" s="5">
        <f>2468</f>
      </c>
      <c r="B2476" s="5" t="s">
        <v>2445</v>
      </c>
      <c r="C2476" s="5" t="s">
        <v>11</v>
      </c>
      <c r="D2476" s="5" t="s">
        <v>12</v>
      </c>
      <c r="E2476" s="5" t="s">
        <v>2300</v>
      </c>
    </row>
    <row r="2477" spans="1:5" x14ac:dyDescent="0.25">
      <c r="A2477" s="5">
        <f>2469</f>
      </c>
      <c r="B2477" s="5" t="s">
        <v>2446</v>
      </c>
      <c r="C2477" s="5" t="s">
        <v>11</v>
      </c>
      <c r="D2477" s="5" t="s">
        <v>12</v>
      </c>
      <c r="E2477" s="5" t="s">
        <v>2300</v>
      </c>
    </row>
    <row r="2478" spans="1:5" x14ac:dyDescent="0.25">
      <c r="A2478" s="5">
        <f>2470</f>
      </c>
      <c r="B2478" s="5" t="s">
        <v>2446</v>
      </c>
      <c r="C2478" s="5" t="s">
        <v>11</v>
      </c>
      <c r="D2478" s="5" t="s">
        <v>12</v>
      </c>
      <c r="E2478" s="5" t="s">
        <v>2300</v>
      </c>
    </row>
    <row r="2479" spans="1:5" x14ac:dyDescent="0.25">
      <c r="A2479" s="5">
        <f>2471</f>
      </c>
      <c r="B2479" s="5" t="s">
        <v>2447</v>
      </c>
      <c r="C2479" s="5" t="s">
        <v>11</v>
      </c>
      <c r="D2479" s="5" t="s">
        <v>12</v>
      </c>
      <c r="E2479" s="5" t="s">
        <v>2300</v>
      </c>
    </row>
    <row r="2480" spans="1:5" x14ac:dyDescent="0.25">
      <c r="A2480" s="5">
        <f>2472</f>
      </c>
      <c r="B2480" s="5" t="s">
        <v>2447</v>
      </c>
      <c r="C2480" s="5" t="s">
        <v>11</v>
      </c>
      <c r="D2480" s="5" t="s">
        <v>12</v>
      </c>
      <c r="E2480" s="5" t="s">
        <v>2300</v>
      </c>
    </row>
    <row r="2481" spans="1:5" x14ac:dyDescent="0.25">
      <c r="A2481" s="5">
        <f>2473</f>
      </c>
      <c r="B2481" s="5" t="s">
        <v>2448</v>
      </c>
      <c r="C2481" s="5" t="s">
        <v>11</v>
      </c>
      <c r="D2481" s="5" t="s">
        <v>12</v>
      </c>
      <c r="E2481" s="5" t="s">
        <v>2300</v>
      </c>
    </row>
    <row r="2482" spans="1:5" x14ac:dyDescent="0.25">
      <c r="A2482" s="5">
        <f>2474</f>
      </c>
      <c r="B2482" s="5" t="s">
        <v>2448</v>
      </c>
      <c r="C2482" s="5" t="s">
        <v>11</v>
      </c>
      <c r="D2482" s="5" t="s">
        <v>12</v>
      </c>
      <c r="E2482" s="5" t="s">
        <v>2300</v>
      </c>
    </row>
    <row r="2483" spans="1:5" x14ac:dyDescent="0.25">
      <c r="A2483" s="5">
        <f>2475</f>
      </c>
      <c r="B2483" s="5" t="s">
        <v>2449</v>
      </c>
      <c r="C2483" s="5" t="s">
        <v>11</v>
      </c>
      <c r="D2483" s="5" t="s">
        <v>12</v>
      </c>
      <c r="E2483" s="5" t="s">
        <v>2300</v>
      </c>
    </row>
    <row r="2484" spans="1:5" x14ac:dyDescent="0.25">
      <c r="A2484" s="5">
        <f>2476</f>
      </c>
      <c r="B2484" s="5" t="s">
        <v>2449</v>
      </c>
      <c r="C2484" s="5" t="s">
        <v>11</v>
      </c>
      <c r="D2484" s="5" t="s">
        <v>12</v>
      </c>
      <c r="E2484" s="5" t="s">
        <v>2300</v>
      </c>
    </row>
    <row r="2485" spans="1:5" x14ac:dyDescent="0.25">
      <c r="A2485" s="5">
        <f>2477</f>
      </c>
      <c r="B2485" s="5" t="s">
        <v>2450</v>
      </c>
      <c r="C2485" s="5" t="s">
        <v>11</v>
      </c>
      <c r="D2485" s="5" t="s">
        <v>12</v>
      </c>
      <c r="E2485" s="5" t="s">
        <v>2300</v>
      </c>
    </row>
    <row r="2486" spans="1:5" x14ac:dyDescent="0.25">
      <c r="A2486" s="5">
        <f>2478</f>
      </c>
      <c r="B2486" s="5" t="s">
        <v>2450</v>
      </c>
      <c r="C2486" s="5" t="s">
        <v>11</v>
      </c>
      <c r="D2486" s="5" t="s">
        <v>12</v>
      </c>
      <c r="E2486" s="5" t="s">
        <v>2300</v>
      </c>
    </row>
    <row r="2487" spans="1:5" x14ac:dyDescent="0.25">
      <c r="A2487" s="5">
        <f>2479</f>
      </c>
      <c r="B2487" s="5" t="s">
        <v>2451</v>
      </c>
      <c r="C2487" s="5" t="s">
        <v>11</v>
      </c>
      <c r="D2487" s="5" t="s">
        <v>12</v>
      </c>
      <c r="E2487" s="5" t="s">
        <v>2300</v>
      </c>
    </row>
    <row r="2488" spans="1:5" x14ac:dyDescent="0.25">
      <c r="A2488" s="5">
        <f>2480</f>
      </c>
      <c r="B2488" s="5" t="s">
        <v>2451</v>
      </c>
      <c r="C2488" s="5" t="s">
        <v>11</v>
      </c>
      <c r="D2488" s="5" t="s">
        <v>12</v>
      </c>
      <c r="E2488" s="5" t="s">
        <v>2300</v>
      </c>
    </row>
    <row r="2489" spans="1:5" x14ac:dyDescent="0.25">
      <c r="A2489" s="5">
        <f>2481</f>
      </c>
      <c r="B2489" s="5" t="s">
        <v>2452</v>
      </c>
      <c r="C2489" s="5" t="s">
        <v>11</v>
      </c>
      <c r="D2489" s="5" t="s">
        <v>12</v>
      </c>
      <c r="E2489" s="5" t="s">
        <v>2300</v>
      </c>
    </row>
    <row r="2490" spans="1:5" x14ac:dyDescent="0.25">
      <c r="A2490" s="5">
        <f>2482</f>
      </c>
      <c r="B2490" s="5" t="s">
        <v>2452</v>
      </c>
      <c r="C2490" s="5" t="s">
        <v>11</v>
      </c>
      <c r="D2490" s="5" t="s">
        <v>12</v>
      </c>
      <c r="E2490" s="5" t="s">
        <v>2300</v>
      </c>
    </row>
    <row r="2491" spans="1:5" x14ac:dyDescent="0.25">
      <c r="A2491" s="5">
        <f>2483</f>
      </c>
      <c r="B2491" s="5" t="s">
        <v>2453</v>
      </c>
      <c r="C2491" s="5" t="s">
        <v>11</v>
      </c>
      <c r="D2491" s="5" t="s">
        <v>12</v>
      </c>
      <c r="E2491" s="5" t="s">
        <v>2300</v>
      </c>
    </row>
    <row r="2492" spans="1:5" x14ac:dyDescent="0.25">
      <c r="A2492" s="5">
        <f>2484</f>
      </c>
      <c r="B2492" s="5" t="s">
        <v>2453</v>
      </c>
      <c r="C2492" s="5" t="s">
        <v>11</v>
      </c>
      <c r="D2492" s="5" t="s">
        <v>12</v>
      </c>
      <c r="E2492" s="5" t="s">
        <v>2300</v>
      </c>
    </row>
    <row r="2493" spans="1:5" x14ac:dyDescent="0.25">
      <c r="A2493" s="5">
        <f>2485</f>
      </c>
      <c r="B2493" s="5" t="s">
        <v>2454</v>
      </c>
      <c r="C2493" s="5" t="s">
        <v>11</v>
      </c>
      <c r="D2493" s="5" t="s">
        <v>12</v>
      </c>
      <c r="E2493" s="5" t="s">
        <v>2300</v>
      </c>
    </row>
    <row r="2494" spans="1:5" x14ac:dyDescent="0.25">
      <c r="A2494" s="5">
        <f>2486</f>
      </c>
      <c r="B2494" s="5" t="s">
        <v>2454</v>
      </c>
      <c r="C2494" s="5" t="s">
        <v>11</v>
      </c>
      <c r="D2494" s="5" t="s">
        <v>12</v>
      </c>
      <c r="E2494" s="5" t="s">
        <v>2300</v>
      </c>
    </row>
    <row r="2495" spans="1:5" x14ac:dyDescent="0.25">
      <c r="A2495" s="5">
        <f>2487</f>
      </c>
      <c r="B2495" s="5" t="s">
        <v>2455</v>
      </c>
      <c r="C2495" s="5" t="s">
        <v>11</v>
      </c>
      <c r="D2495" s="5" t="s">
        <v>12</v>
      </c>
      <c r="E2495" s="5" t="s">
        <v>2300</v>
      </c>
    </row>
    <row r="2496" spans="1:5" x14ac:dyDescent="0.25">
      <c r="A2496" s="5">
        <f>2488</f>
      </c>
      <c r="B2496" s="5" t="s">
        <v>2455</v>
      </c>
      <c r="C2496" s="5" t="s">
        <v>11</v>
      </c>
      <c r="D2496" s="5" t="s">
        <v>12</v>
      </c>
      <c r="E2496" s="5" t="s">
        <v>2300</v>
      </c>
    </row>
    <row r="2497" spans="1:5" x14ac:dyDescent="0.25">
      <c r="A2497" s="5">
        <f>2489</f>
      </c>
      <c r="B2497" s="5" t="s">
        <v>2456</v>
      </c>
      <c r="C2497" s="5" t="s">
        <v>11</v>
      </c>
      <c r="D2497" s="5" t="s">
        <v>12</v>
      </c>
      <c r="E2497" s="5" t="s">
        <v>2300</v>
      </c>
    </row>
    <row r="2498" spans="1:5" x14ac:dyDescent="0.25">
      <c r="A2498" s="5">
        <f>2490</f>
      </c>
      <c r="B2498" s="5" t="s">
        <v>2456</v>
      </c>
      <c r="C2498" s="5" t="s">
        <v>11</v>
      </c>
      <c r="D2498" s="5" t="s">
        <v>12</v>
      </c>
      <c r="E2498" s="5" t="s">
        <v>2300</v>
      </c>
    </row>
    <row r="2499" spans="1:5" x14ac:dyDescent="0.25">
      <c r="A2499" s="5">
        <f>2491</f>
      </c>
      <c r="B2499" s="5" t="s">
        <v>2457</v>
      </c>
      <c r="C2499" s="5" t="s">
        <v>11</v>
      </c>
      <c r="D2499" s="5" t="s">
        <v>12</v>
      </c>
      <c r="E2499" s="5" t="s">
        <v>2300</v>
      </c>
    </row>
    <row r="2500" spans="1:5" x14ac:dyDescent="0.25">
      <c r="A2500" s="5">
        <f>2492</f>
      </c>
      <c r="B2500" s="5" t="s">
        <v>2457</v>
      </c>
      <c r="C2500" s="5" t="s">
        <v>11</v>
      </c>
      <c r="D2500" s="5" t="s">
        <v>12</v>
      </c>
      <c r="E2500" s="5" t="s">
        <v>2300</v>
      </c>
    </row>
    <row r="2501" spans="1:5" x14ac:dyDescent="0.25">
      <c r="A2501" s="5">
        <f>2493</f>
      </c>
      <c r="B2501" s="5" t="s">
        <v>2458</v>
      </c>
      <c r="C2501" s="5" t="s">
        <v>11</v>
      </c>
      <c r="D2501" s="5" t="s">
        <v>12</v>
      </c>
      <c r="E2501" s="5" t="s">
        <v>2300</v>
      </c>
    </row>
    <row r="2502" spans="1:5" x14ac:dyDescent="0.25">
      <c r="A2502" s="5">
        <f>2494</f>
      </c>
      <c r="B2502" s="5" t="s">
        <v>2458</v>
      </c>
      <c r="C2502" s="5" t="s">
        <v>11</v>
      </c>
      <c r="D2502" s="5" t="s">
        <v>12</v>
      </c>
      <c r="E2502" s="5" t="s">
        <v>2300</v>
      </c>
    </row>
    <row r="2503" spans="1:5" x14ac:dyDescent="0.25">
      <c r="A2503" s="5">
        <f>2495</f>
      </c>
      <c r="B2503" s="5" t="s">
        <v>2459</v>
      </c>
      <c r="C2503" s="5" t="s">
        <v>11</v>
      </c>
      <c r="D2503" s="5" t="s">
        <v>12</v>
      </c>
      <c r="E2503" s="5" t="s">
        <v>2300</v>
      </c>
    </row>
    <row r="2504" spans="1:5" x14ac:dyDescent="0.25">
      <c r="A2504" s="5">
        <f>2496</f>
      </c>
      <c r="B2504" s="5" t="s">
        <v>2459</v>
      </c>
      <c r="C2504" s="5" t="s">
        <v>11</v>
      </c>
      <c r="D2504" s="5" t="s">
        <v>12</v>
      </c>
      <c r="E2504" s="5" t="s">
        <v>2300</v>
      </c>
    </row>
    <row r="2505" spans="1:5" x14ac:dyDescent="0.25">
      <c r="A2505" s="5">
        <f>2497</f>
      </c>
      <c r="B2505" s="5" t="s">
        <v>2460</v>
      </c>
      <c r="C2505" s="5" t="s">
        <v>11</v>
      </c>
      <c r="D2505" s="5" t="s">
        <v>12</v>
      </c>
      <c r="E2505" s="5" t="s">
        <v>2300</v>
      </c>
    </row>
    <row r="2506" spans="1:5" x14ac:dyDescent="0.25">
      <c r="A2506" s="5">
        <f>2498</f>
      </c>
      <c r="B2506" s="5" t="s">
        <v>2460</v>
      </c>
      <c r="C2506" s="5" t="s">
        <v>11</v>
      </c>
      <c r="D2506" s="5" t="s">
        <v>12</v>
      </c>
      <c r="E2506" s="5" t="s">
        <v>2300</v>
      </c>
    </row>
    <row r="2507" spans="1:5" x14ac:dyDescent="0.25">
      <c r="A2507" s="5">
        <f>2499</f>
      </c>
      <c r="B2507" s="5" t="s">
        <v>2461</v>
      </c>
      <c r="C2507" s="5" t="s">
        <v>11</v>
      </c>
      <c r="D2507" s="5" t="s">
        <v>12</v>
      </c>
      <c r="E2507" s="5" t="s">
        <v>2300</v>
      </c>
    </row>
    <row r="2508" spans="1:5" x14ac:dyDescent="0.25">
      <c r="A2508" s="5">
        <f>2500</f>
      </c>
      <c r="B2508" s="5" t="s">
        <v>2461</v>
      </c>
      <c r="C2508" s="5" t="s">
        <v>11</v>
      </c>
      <c r="D2508" s="5" t="s">
        <v>12</v>
      </c>
      <c r="E2508" s="5" t="s">
        <v>2300</v>
      </c>
    </row>
    <row r="2509" spans="1:5" x14ac:dyDescent="0.25">
      <c r="A2509" s="5">
        <f>2501</f>
      </c>
      <c r="B2509" s="5" t="s">
        <v>2462</v>
      </c>
      <c r="C2509" s="5" t="s">
        <v>11</v>
      </c>
      <c r="D2509" s="5" t="s">
        <v>12</v>
      </c>
      <c r="E2509" s="5" t="s">
        <v>2300</v>
      </c>
    </row>
    <row r="2510" spans="1:5" x14ac:dyDescent="0.25">
      <c r="A2510" s="5">
        <f>2502</f>
      </c>
      <c r="B2510" s="5" t="s">
        <v>2462</v>
      </c>
      <c r="C2510" s="5" t="s">
        <v>11</v>
      </c>
      <c r="D2510" s="5" t="s">
        <v>12</v>
      </c>
      <c r="E2510" s="5" t="s">
        <v>2300</v>
      </c>
    </row>
    <row r="2511" spans="1:5" x14ac:dyDescent="0.25">
      <c r="A2511" s="5">
        <f>2503</f>
      </c>
      <c r="B2511" s="5" t="s">
        <v>2463</v>
      </c>
      <c r="C2511" s="5" t="s">
        <v>11</v>
      </c>
      <c r="D2511" s="5" t="s">
        <v>12</v>
      </c>
      <c r="E2511" s="5" t="s">
        <v>2300</v>
      </c>
    </row>
    <row r="2512" spans="1:5" x14ac:dyDescent="0.25">
      <c r="A2512" s="5">
        <f>2504</f>
      </c>
      <c r="B2512" s="5" t="s">
        <v>2463</v>
      </c>
      <c r="C2512" s="5" t="s">
        <v>11</v>
      </c>
      <c r="D2512" s="5" t="s">
        <v>12</v>
      </c>
      <c r="E2512" s="5" t="s">
        <v>2300</v>
      </c>
    </row>
    <row r="2513" spans="1:5" x14ac:dyDescent="0.25">
      <c r="A2513" s="5">
        <f>2505</f>
      </c>
      <c r="B2513" s="5" t="s">
        <v>2464</v>
      </c>
      <c r="C2513" s="5" t="s">
        <v>11</v>
      </c>
      <c r="D2513" s="5" t="s">
        <v>12</v>
      </c>
      <c r="E2513" s="5" t="s">
        <v>2300</v>
      </c>
    </row>
    <row r="2514" spans="1:5" x14ac:dyDescent="0.25">
      <c r="A2514" s="5">
        <f>2506</f>
      </c>
      <c r="B2514" s="5" t="s">
        <v>2464</v>
      </c>
      <c r="C2514" s="5" t="s">
        <v>11</v>
      </c>
      <c r="D2514" s="5" t="s">
        <v>12</v>
      </c>
      <c r="E2514" s="5" t="s">
        <v>2300</v>
      </c>
    </row>
    <row r="2515" spans="1:5" x14ac:dyDescent="0.25">
      <c r="A2515" s="5">
        <f>2507</f>
      </c>
      <c r="B2515" s="5" t="s">
        <v>2465</v>
      </c>
      <c r="C2515" s="5" t="s">
        <v>11</v>
      </c>
      <c r="D2515" s="5" t="s">
        <v>12</v>
      </c>
      <c r="E2515" s="5" t="s">
        <v>2300</v>
      </c>
    </row>
    <row r="2516" spans="1:5" x14ac:dyDescent="0.25">
      <c r="A2516" s="5">
        <f>2508</f>
      </c>
      <c r="B2516" s="5" t="s">
        <v>2465</v>
      </c>
      <c r="C2516" s="5" t="s">
        <v>11</v>
      </c>
      <c r="D2516" s="5" t="s">
        <v>12</v>
      </c>
      <c r="E2516" s="5" t="s">
        <v>2300</v>
      </c>
    </row>
    <row r="2517" spans="1:5" x14ac:dyDescent="0.25">
      <c r="A2517" s="5">
        <f>2509</f>
      </c>
      <c r="B2517" s="5" t="s">
        <v>2466</v>
      </c>
      <c r="C2517" s="5" t="s">
        <v>11</v>
      </c>
      <c r="D2517" s="5" t="s">
        <v>12</v>
      </c>
      <c r="E2517" s="5" t="s">
        <v>2300</v>
      </c>
    </row>
    <row r="2518" spans="1:5" x14ac:dyDescent="0.25">
      <c r="A2518" s="5">
        <f>2510</f>
      </c>
      <c r="B2518" s="5" t="s">
        <v>2466</v>
      </c>
      <c r="C2518" s="5" t="s">
        <v>11</v>
      </c>
      <c r="D2518" s="5" t="s">
        <v>12</v>
      </c>
      <c r="E2518" s="5" t="s">
        <v>2300</v>
      </c>
    </row>
    <row r="2519" spans="1:5" x14ac:dyDescent="0.25">
      <c r="A2519" s="5">
        <f>2511</f>
      </c>
      <c r="B2519" s="5" t="s">
        <v>2467</v>
      </c>
      <c r="C2519" s="5" t="s">
        <v>11</v>
      </c>
      <c r="D2519" s="5" t="s">
        <v>12</v>
      </c>
      <c r="E2519" s="5" t="s">
        <v>2300</v>
      </c>
    </row>
    <row r="2520" spans="1:5" x14ac:dyDescent="0.25">
      <c r="A2520" s="5">
        <f>2512</f>
      </c>
      <c r="B2520" s="5" t="s">
        <v>2467</v>
      </c>
      <c r="C2520" s="5" t="s">
        <v>11</v>
      </c>
      <c r="D2520" s="5" t="s">
        <v>12</v>
      </c>
      <c r="E2520" s="5" t="s">
        <v>2300</v>
      </c>
    </row>
    <row r="2521" spans="1:5" x14ac:dyDescent="0.25">
      <c r="A2521" s="5">
        <f>2513</f>
      </c>
      <c r="B2521" s="5" t="s">
        <v>2468</v>
      </c>
      <c r="C2521" s="5" t="s">
        <v>11</v>
      </c>
      <c r="D2521" s="5" t="s">
        <v>12</v>
      </c>
      <c r="E2521" s="5" t="s">
        <v>2300</v>
      </c>
    </row>
    <row r="2522" spans="1:5" x14ac:dyDescent="0.25">
      <c r="A2522" s="5">
        <f>2514</f>
      </c>
      <c r="B2522" s="5" t="s">
        <v>2468</v>
      </c>
      <c r="C2522" s="5" t="s">
        <v>11</v>
      </c>
      <c r="D2522" s="5" t="s">
        <v>12</v>
      </c>
      <c r="E2522" s="5" t="s">
        <v>2300</v>
      </c>
    </row>
    <row r="2523" spans="1:5" x14ac:dyDescent="0.25">
      <c r="A2523" s="5">
        <f>2515</f>
      </c>
      <c r="B2523" s="5" t="s">
        <v>2469</v>
      </c>
      <c r="C2523" s="5" t="s">
        <v>11</v>
      </c>
      <c r="D2523" s="5" t="s">
        <v>12</v>
      </c>
      <c r="E2523" s="5" t="s">
        <v>2300</v>
      </c>
    </row>
    <row r="2524" spans="1:5" x14ac:dyDescent="0.25">
      <c r="A2524" s="5">
        <f>2516</f>
      </c>
      <c r="B2524" s="5" t="s">
        <v>2469</v>
      </c>
      <c r="C2524" s="5" t="s">
        <v>11</v>
      </c>
      <c r="D2524" s="5" t="s">
        <v>12</v>
      </c>
      <c r="E2524" s="5" t="s">
        <v>2300</v>
      </c>
    </row>
    <row r="2525" spans="1:5" x14ac:dyDescent="0.25">
      <c r="A2525" s="5">
        <f>2517</f>
      </c>
      <c r="B2525" s="5" t="s">
        <v>2470</v>
      </c>
      <c r="C2525" s="5" t="s">
        <v>11</v>
      </c>
      <c r="D2525" s="5" t="s">
        <v>12</v>
      </c>
      <c r="E2525" s="5" t="s">
        <v>2300</v>
      </c>
    </row>
    <row r="2526" spans="1:5" x14ac:dyDescent="0.25">
      <c r="A2526" s="5">
        <f>2518</f>
      </c>
      <c r="B2526" s="5" t="s">
        <v>2470</v>
      </c>
      <c r="C2526" s="5" t="s">
        <v>11</v>
      </c>
      <c r="D2526" s="5" t="s">
        <v>12</v>
      </c>
      <c r="E2526" s="5" t="s">
        <v>2300</v>
      </c>
    </row>
    <row r="2527" spans="1:5" x14ac:dyDescent="0.25">
      <c r="A2527" s="5">
        <f>2519</f>
      </c>
      <c r="B2527" s="5" t="s">
        <v>2471</v>
      </c>
      <c r="C2527" s="5" t="s">
        <v>11</v>
      </c>
      <c r="D2527" s="5" t="s">
        <v>12</v>
      </c>
      <c r="E2527" s="5" t="s">
        <v>2300</v>
      </c>
    </row>
    <row r="2528" spans="1:5" x14ac:dyDescent="0.25">
      <c r="A2528" s="5">
        <f>2520</f>
      </c>
      <c r="B2528" s="5" t="s">
        <v>2471</v>
      </c>
      <c r="C2528" s="5" t="s">
        <v>11</v>
      </c>
      <c r="D2528" s="5" t="s">
        <v>12</v>
      </c>
      <c r="E2528" s="5" t="s">
        <v>2300</v>
      </c>
    </row>
    <row r="2529" spans="1:5" x14ac:dyDescent="0.25">
      <c r="A2529" s="5">
        <f>2521</f>
      </c>
      <c r="B2529" s="5" t="s">
        <v>2472</v>
      </c>
      <c r="C2529" s="5" t="s">
        <v>11</v>
      </c>
      <c r="D2529" s="5" t="s">
        <v>12</v>
      </c>
      <c r="E2529" s="5" t="s">
        <v>2300</v>
      </c>
    </row>
    <row r="2530" spans="1:5" x14ac:dyDescent="0.25">
      <c r="A2530" s="5">
        <f>2522</f>
      </c>
      <c r="B2530" s="5" t="s">
        <v>2472</v>
      </c>
      <c r="C2530" s="5" t="s">
        <v>11</v>
      </c>
      <c r="D2530" s="5" t="s">
        <v>12</v>
      </c>
      <c r="E2530" s="5" t="s">
        <v>2300</v>
      </c>
    </row>
    <row r="2531" spans="1:5" x14ac:dyDescent="0.25">
      <c r="A2531" s="5">
        <f>2523</f>
      </c>
      <c r="B2531" s="5" t="s">
        <v>2473</v>
      </c>
      <c r="C2531" s="5" t="s">
        <v>11</v>
      </c>
      <c r="D2531" s="5" t="s">
        <v>12</v>
      </c>
      <c r="E2531" s="5" t="s">
        <v>2300</v>
      </c>
    </row>
    <row r="2532" spans="1:5" x14ac:dyDescent="0.25">
      <c r="A2532" s="5">
        <f>2524</f>
      </c>
      <c r="B2532" s="5" t="s">
        <v>2473</v>
      </c>
      <c r="C2532" s="5" t="s">
        <v>11</v>
      </c>
      <c r="D2532" s="5" t="s">
        <v>12</v>
      </c>
      <c r="E2532" s="5" t="s">
        <v>2300</v>
      </c>
    </row>
    <row r="2533" spans="1:5" x14ac:dyDescent="0.25">
      <c r="A2533" s="5">
        <f>2525</f>
      </c>
      <c r="B2533" s="5" t="s">
        <v>2474</v>
      </c>
      <c r="C2533" s="5" t="s">
        <v>11</v>
      </c>
      <c r="D2533" s="5" t="s">
        <v>12</v>
      </c>
      <c r="E2533" s="5" t="s">
        <v>2300</v>
      </c>
    </row>
    <row r="2534" spans="1:5" x14ac:dyDescent="0.25">
      <c r="A2534" s="5">
        <f>2526</f>
      </c>
      <c r="B2534" s="5" t="s">
        <v>2474</v>
      </c>
      <c r="C2534" s="5" t="s">
        <v>11</v>
      </c>
      <c r="D2534" s="5" t="s">
        <v>12</v>
      </c>
      <c r="E2534" s="5" t="s">
        <v>2300</v>
      </c>
    </row>
    <row r="2535" spans="1:5" x14ac:dyDescent="0.25">
      <c r="A2535" s="5">
        <f>2527</f>
      </c>
      <c r="B2535" s="5" t="s">
        <v>2475</v>
      </c>
      <c r="C2535" s="5" t="s">
        <v>11</v>
      </c>
      <c r="D2535" s="5" t="s">
        <v>12</v>
      </c>
      <c r="E2535" s="5" t="s">
        <v>2300</v>
      </c>
    </row>
    <row r="2536" spans="1:5" x14ac:dyDescent="0.25">
      <c r="A2536" s="5">
        <f>2528</f>
      </c>
      <c r="B2536" s="5" t="s">
        <v>2475</v>
      </c>
      <c r="C2536" s="5" t="s">
        <v>11</v>
      </c>
      <c r="D2536" s="5" t="s">
        <v>12</v>
      </c>
      <c r="E2536" s="5" t="s">
        <v>2300</v>
      </c>
    </row>
    <row r="2537" spans="1:5" x14ac:dyDescent="0.25">
      <c r="A2537" s="5">
        <f>2529</f>
      </c>
      <c r="B2537" s="5" t="s">
        <v>2476</v>
      </c>
      <c r="C2537" s="5" t="s">
        <v>11</v>
      </c>
      <c r="D2537" s="5" t="s">
        <v>12</v>
      </c>
      <c r="E2537" s="5" t="s">
        <v>2300</v>
      </c>
    </row>
    <row r="2538" spans="1:5" x14ac:dyDescent="0.25">
      <c r="A2538" s="5">
        <f>2530</f>
      </c>
      <c r="B2538" s="5" t="s">
        <v>2476</v>
      </c>
      <c r="C2538" s="5" t="s">
        <v>11</v>
      </c>
      <c r="D2538" s="5" t="s">
        <v>12</v>
      </c>
      <c r="E2538" s="5" t="s">
        <v>2300</v>
      </c>
    </row>
    <row r="2539" spans="1:5" x14ac:dyDescent="0.25">
      <c r="A2539" s="5">
        <f>2531</f>
      </c>
      <c r="B2539" s="5" t="s">
        <v>2477</v>
      </c>
      <c r="C2539" s="5" t="s">
        <v>11</v>
      </c>
      <c r="D2539" s="5" t="s">
        <v>12</v>
      </c>
      <c r="E2539" s="5" t="s">
        <v>2300</v>
      </c>
    </row>
    <row r="2540" spans="1:5" x14ac:dyDescent="0.25">
      <c r="A2540" s="5">
        <f>2532</f>
      </c>
      <c r="B2540" s="5" t="s">
        <v>2477</v>
      </c>
      <c r="C2540" s="5" t="s">
        <v>11</v>
      </c>
      <c r="D2540" s="5" t="s">
        <v>12</v>
      </c>
      <c r="E2540" s="5" t="s">
        <v>2300</v>
      </c>
    </row>
    <row r="2541" spans="1:5" x14ac:dyDescent="0.25">
      <c r="A2541" s="5">
        <f>2533</f>
      </c>
      <c r="B2541" s="5" t="s">
        <v>2478</v>
      </c>
      <c r="C2541" s="5" t="s">
        <v>11</v>
      </c>
      <c r="D2541" s="5" t="s">
        <v>12</v>
      </c>
      <c r="E2541" s="5" t="s">
        <v>2300</v>
      </c>
    </row>
    <row r="2542" spans="1:5" x14ac:dyDescent="0.25">
      <c r="A2542" s="5">
        <f>2534</f>
      </c>
      <c r="B2542" s="5" t="s">
        <v>2478</v>
      </c>
      <c r="C2542" s="5" t="s">
        <v>11</v>
      </c>
      <c r="D2542" s="5" t="s">
        <v>12</v>
      </c>
      <c r="E2542" s="5" t="s">
        <v>2300</v>
      </c>
    </row>
    <row r="2543" spans="1:5" x14ac:dyDescent="0.25">
      <c r="A2543" s="5">
        <f>2535</f>
      </c>
      <c r="B2543" s="5" t="s">
        <v>2479</v>
      </c>
      <c r="C2543" s="5" t="s">
        <v>11</v>
      </c>
      <c r="D2543" s="5" t="s">
        <v>12</v>
      </c>
      <c r="E2543" s="5" t="s">
        <v>2300</v>
      </c>
    </row>
    <row r="2544" spans="1:5" x14ac:dyDescent="0.25">
      <c r="A2544" s="5">
        <f>2536</f>
      </c>
      <c r="B2544" s="5" t="s">
        <v>2479</v>
      </c>
      <c r="C2544" s="5" t="s">
        <v>11</v>
      </c>
      <c r="D2544" s="5" t="s">
        <v>12</v>
      </c>
      <c r="E2544" s="5" t="s">
        <v>2300</v>
      </c>
    </row>
    <row r="2545" spans="1:5" x14ac:dyDescent="0.25">
      <c r="A2545" s="5">
        <f>2537</f>
      </c>
      <c r="B2545" s="5" t="s">
        <v>2480</v>
      </c>
      <c r="C2545" s="5" t="s">
        <v>11</v>
      </c>
      <c r="D2545" s="5" t="s">
        <v>12</v>
      </c>
      <c r="E2545" s="5" t="s">
        <v>2300</v>
      </c>
    </row>
    <row r="2546" spans="1:5" x14ac:dyDescent="0.25">
      <c r="A2546" s="5">
        <f>2538</f>
      </c>
      <c r="B2546" s="5" t="s">
        <v>2480</v>
      </c>
      <c r="C2546" s="5" t="s">
        <v>11</v>
      </c>
      <c r="D2546" s="5" t="s">
        <v>12</v>
      </c>
      <c r="E2546" s="5" t="s">
        <v>2300</v>
      </c>
    </row>
    <row r="2547" spans="1:5" x14ac:dyDescent="0.25">
      <c r="A2547" s="5">
        <f>2539</f>
      </c>
      <c r="B2547" s="5" t="s">
        <v>2481</v>
      </c>
      <c r="C2547" s="5" t="s">
        <v>11</v>
      </c>
      <c r="D2547" s="5" t="s">
        <v>12</v>
      </c>
      <c r="E2547" s="5" t="s">
        <v>2300</v>
      </c>
    </row>
    <row r="2548" spans="1:5" x14ac:dyDescent="0.25">
      <c r="A2548" s="5">
        <f>2540</f>
      </c>
      <c r="B2548" s="5" t="s">
        <v>2481</v>
      </c>
      <c r="C2548" s="5" t="s">
        <v>11</v>
      </c>
      <c r="D2548" s="5" t="s">
        <v>12</v>
      </c>
      <c r="E2548" s="5" t="s">
        <v>2300</v>
      </c>
    </row>
    <row r="2549" spans="1:5" x14ac:dyDescent="0.25">
      <c r="A2549" s="5">
        <f>2541</f>
      </c>
      <c r="B2549" s="5" t="s">
        <v>2482</v>
      </c>
      <c r="C2549" s="5" t="s">
        <v>11</v>
      </c>
      <c r="D2549" s="5" t="s">
        <v>12</v>
      </c>
      <c r="E2549" s="5" t="s">
        <v>2300</v>
      </c>
    </row>
    <row r="2550" spans="1:5" x14ac:dyDescent="0.25">
      <c r="A2550" s="5">
        <f>2542</f>
      </c>
      <c r="B2550" s="5" t="s">
        <v>2482</v>
      </c>
      <c r="C2550" s="5" t="s">
        <v>11</v>
      </c>
      <c r="D2550" s="5" t="s">
        <v>12</v>
      </c>
      <c r="E2550" s="5" t="s">
        <v>2300</v>
      </c>
    </row>
    <row r="2551" spans="1:5" x14ac:dyDescent="0.25">
      <c r="A2551" s="5">
        <f>2543</f>
      </c>
      <c r="B2551" s="5" t="s">
        <v>2483</v>
      </c>
      <c r="C2551" s="5" t="s">
        <v>11</v>
      </c>
      <c r="D2551" s="5" t="s">
        <v>12</v>
      </c>
      <c r="E2551" s="5" t="s">
        <v>2300</v>
      </c>
    </row>
    <row r="2552" spans="1:5" x14ac:dyDescent="0.25">
      <c r="A2552" s="5">
        <f>2544</f>
      </c>
      <c r="B2552" s="5" t="s">
        <v>2483</v>
      </c>
      <c r="C2552" s="5" t="s">
        <v>11</v>
      </c>
      <c r="D2552" s="5" t="s">
        <v>12</v>
      </c>
      <c r="E2552" s="5" t="s">
        <v>2300</v>
      </c>
    </row>
    <row r="2553" spans="1:5" x14ac:dyDescent="0.25">
      <c r="A2553" s="5">
        <f>2545</f>
      </c>
      <c r="B2553" s="5" t="s">
        <v>2484</v>
      </c>
      <c r="C2553" s="5" t="s">
        <v>11</v>
      </c>
      <c r="D2553" s="5" t="s">
        <v>12</v>
      </c>
      <c r="E2553" s="5" t="s">
        <v>2300</v>
      </c>
    </row>
    <row r="2554" spans="1:5" x14ac:dyDescent="0.25">
      <c r="A2554" s="5">
        <f>2546</f>
      </c>
      <c r="B2554" s="5" t="s">
        <v>2484</v>
      </c>
      <c r="C2554" s="5" t="s">
        <v>11</v>
      </c>
      <c r="D2554" s="5" t="s">
        <v>12</v>
      </c>
      <c r="E2554" s="5" t="s">
        <v>2300</v>
      </c>
    </row>
    <row r="2555" spans="1:5" x14ac:dyDescent="0.25">
      <c r="A2555" s="5">
        <f>2547</f>
      </c>
      <c r="B2555" s="5" t="s">
        <v>2485</v>
      </c>
      <c r="C2555" s="5" t="s">
        <v>11</v>
      </c>
      <c r="D2555" s="5" t="s">
        <v>12</v>
      </c>
      <c r="E2555" s="5" t="s">
        <v>2300</v>
      </c>
    </row>
    <row r="2556" spans="1:5" x14ac:dyDescent="0.25">
      <c r="A2556" s="5">
        <f>2548</f>
      </c>
      <c r="B2556" s="5" t="s">
        <v>2485</v>
      </c>
      <c r="C2556" s="5" t="s">
        <v>11</v>
      </c>
      <c r="D2556" s="5" t="s">
        <v>12</v>
      </c>
      <c r="E2556" s="5" t="s">
        <v>2300</v>
      </c>
    </row>
    <row r="2557" spans="1:5" x14ac:dyDescent="0.25">
      <c r="A2557" s="5">
        <f>2549</f>
      </c>
      <c r="B2557" s="5" t="s">
        <v>2486</v>
      </c>
      <c r="C2557" s="5" t="s">
        <v>11</v>
      </c>
      <c r="D2557" s="5" t="s">
        <v>12</v>
      </c>
      <c r="E2557" s="5" t="s">
        <v>2300</v>
      </c>
    </row>
    <row r="2558" spans="1:5" x14ac:dyDescent="0.25">
      <c r="A2558" s="5">
        <f>2550</f>
      </c>
      <c r="B2558" s="5" t="s">
        <v>2486</v>
      </c>
      <c r="C2558" s="5" t="s">
        <v>11</v>
      </c>
      <c r="D2558" s="5" t="s">
        <v>12</v>
      </c>
      <c r="E2558" s="5" t="s">
        <v>2300</v>
      </c>
    </row>
    <row r="2559" spans="1:5" x14ac:dyDescent="0.25">
      <c r="A2559" s="5">
        <f>2551</f>
      </c>
      <c r="B2559" s="5" t="s">
        <v>2487</v>
      </c>
      <c r="C2559" s="5" t="s">
        <v>11</v>
      </c>
      <c r="D2559" s="5" t="s">
        <v>12</v>
      </c>
      <c r="E2559" s="5" t="s">
        <v>2300</v>
      </c>
    </row>
    <row r="2560" spans="1:5" x14ac:dyDescent="0.25">
      <c r="A2560" s="5">
        <f>2552</f>
      </c>
      <c r="B2560" s="5" t="s">
        <v>2487</v>
      </c>
      <c r="C2560" s="5" t="s">
        <v>11</v>
      </c>
      <c r="D2560" s="5" t="s">
        <v>12</v>
      </c>
      <c r="E2560" s="5" t="s">
        <v>2300</v>
      </c>
    </row>
    <row r="2561" spans="1:5" x14ac:dyDescent="0.25">
      <c r="A2561" s="5">
        <f>2553</f>
      </c>
      <c r="B2561" s="5" t="s">
        <v>2488</v>
      </c>
      <c r="C2561" s="5" t="s">
        <v>11</v>
      </c>
      <c r="D2561" s="5" t="s">
        <v>12</v>
      </c>
      <c r="E2561" s="5" t="s">
        <v>2300</v>
      </c>
    </row>
    <row r="2562" spans="1:5" x14ac:dyDescent="0.25">
      <c r="A2562" s="5">
        <f>2554</f>
      </c>
      <c r="B2562" s="5" t="s">
        <v>2488</v>
      </c>
      <c r="C2562" s="5" t="s">
        <v>11</v>
      </c>
      <c r="D2562" s="5" t="s">
        <v>12</v>
      </c>
      <c r="E2562" s="5" t="s">
        <v>2300</v>
      </c>
    </row>
    <row r="2563" spans="1:5" x14ac:dyDescent="0.25">
      <c r="A2563" s="5">
        <f>2555</f>
      </c>
      <c r="B2563" s="5" t="s">
        <v>2489</v>
      </c>
      <c r="C2563" s="5" t="s">
        <v>11</v>
      </c>
      <c r="D2563" s="5" t="s">
        <v>12</v>
      </c>
      <c r="E2563" s="5" t="s">
        <v>2300</v>
      </c>
    </row>
    <row r="2564" spans="1:5" x14ac:dyDescent="0.25">
      <c r="A2564" s="5">
        <f>2556</f>
      </c>
      <c r="B2564" s="5" t="s">
        <v>2489</v>
      </c>
      <c r="C2564" s="5" t="s">
        <v>11</v>
      </c>
      <c r="D2564" s="5" t="s">
        <v>12</v>
      </c>
      <c r="E2564" s="5" t="s">
        <v>2300</v>
      </c>
    </row>
    <row r="2565" spans="1:5" x14ac:dyDescent="0.25">
      <c r="A2565" s="5">
        <f>2557</f>
      </c>
      <c r="B2565" s="5" t="s">
        <v>2490</v>
      </c>
      <c r="C2565" s="5" t="s">
        <v>11</v>
      </c>
      <c r="D2565" s="5" t="s">
        <v>12</v>
      </c>
      <c r="E2565" s="5" t="s">
        <v>2300</v>
      </c>
    </row>
    <row r="2566" spans="1:5" x14ac:dyDescent="0.25">
      <c r="A2566" s="5">
        <f>2558</f>
      </c>
      <c r="B2566" s="5" t="s">
        <v>2490</v>
      </c>
      <c r="C2566" s="5" t="s">
        <v>11</v>
      </c>
      <c r="D2566" s="5" t="s">
        <v>12</v>
      </c>
      <c r="E2566" s="5" t="s">
        <v>2300</v>
      </c>
    </row>
    <row r="2567" spans="1:5" x14ac:dyDescent="0.25">
      <c r="A2567" s="5">
        <f>2559</f>
      </c>
      <c r="B2567" s="5" t="s">
        <v>2491</v>
      </c>
      <c r="C2567" s="5" t="s">
        <v>11</v>
      </c>
      <c r="D2567" s="5" t="s">
        <v>12</v>
      </c>
      <c r="E2567" s="5" t="s">
        <v>2300</v>
      </c>
    </row>
    <row r="2568" spans="1:5" x14ac:dyDescent="0.25">
      <c r="A2568" s="5">
        <f>2560</f>
      </c>
      <c r="B2568" s="5" t="s">
        <v>2491</v>
      </c>
      <c r="C2568" s="5" t="s">
        <v>11</v>
      </c>
      <c r="D2568" s="5" t="s">
        <v>12</v>
      </c>
      <c r="E2568" s="5" t="s">
        <v>2300</v>
      </c>
    </row>
    <row r="2569" spans="1:5" x14ac:dyDescent="0.25">
      <c r="A2569" s="5">
        <f>2561</f>
      </c>
      <c r="B2569" s="5" t="s">
        <v>2492</v>
      </c>
      <c r="C2569" s="5" t="s">
        <v>11</v>
      </c>
      <c r="D2569" s="5" t="s">
        <v>12</v>
      </c>
      <c r="E2569" s="5" t="s">
        <v>2300</v>
      </c>
    </row>
    <row r="2570" spans="1:5" x14ac:dyDescent="0.25">
      <c r="A2570" s="5">
        <f>2562</f>
      </c>
      <c r="B2570" s="5" t="s">
        <v>2492</v>
      </c>
      <c r="C2570" s="5" t="s">
        <v>11</v>
      </c>
      <c r="D2570" s="5" t="s">
        <v>12</v>
      </c>
      <c r="E2570" s="5" t="s">
        <v>2300</v>
      </c>
    </row>
    <row r="2571" spans="1:5" x14ac:dyDescent="0.25">
      <c r="A2571" s="5">
        <f>2563</f>
      </c>
      <c r="B2571" s="5" t="s">
        <v>2493</v>
      </c>
      <c r="C2571" s="5" t="s">
        <v>11</v>
      </c>
      <c r="D2571" s="5" t="s">
        <v>12</v>
      </c>
      <c r="E2571" s="5" t="s">
        <v>2300</v>
      </c>
    </row>
    <row r="2572" spans="1:5" x14ac:dyDescent="0.25">
      <c r="A2572" s="5">
        <f>2564</f>
      </c>
      <c r="B2572" s="5" t="s">
        <v>2493</v>
      </c>
      <c r="C2572" s="5" t="s">
        <v>11</v>
      </c>
      <c r="D2572" s="5" t="s">
        <v>12</v>
      </c>
      <c r="E2572" s="5" t="s">
        <v>2300</v>
      </c>
    </row>
    <row r="2573" spans="1:5" x14ac:dyDescent="0.25">
      <c r="A2573" s="5">
        <f>2565</f>
      </c>
      <c r="B2573" s="5" t="s">
        <v>2494</v>
      </c>
      <c r="C2573" s="5" t="s">
        <v>11</v>
      </c>
      <c r="D2573" s="5" t="s">
        <v>12</v>
      </c>
      <c r="E2573" s="5" t="s">
        <v>2300</v>
      </c>
    </row>
    <row r="2574" spans="1:5" x14ac:dyDescent="0.25">
      <c r="A2574" s="5">
        <f>2566</f>
      </c>
      <c r="B2574" s="5" t="s">
        <v>2494</v>
      </c>
      <c r="C2574" s="5" t="s">
        <v>11</v>
      </c>
      <c r="D2574" s="5" t="s">
        <v>12</v>
      </c>
      <c r="E2574" s="5" t="s">
        <v>2300</v>
      </c>
    </row>
    <row r="2575" spans="1:5" x14ac:dyDescent="0.25">
      <c r="A2575" s="5">
        <f>2567</f>
      </c>
      <c r="B2575" s="5" t="s">
        <v>2495</v>
      </c>
      <c r="C2575" s="5" t="s">
        <v>11</v>
      </c>
      <c r="D2575" s="5" t="s">
        <v>12</v>
      </c>
      <c r="E2575" s="5" t="s">
        <v>2300</v>
      </c>
    </row>
    <row r="2576" spans="1:5" x14ac:dyDescent="0.25">
      <c r="A2576" s="5">
        <f>2568</f>
      </c>
      <c r="B2576" s="5" t="s">
        <v>2495</v>
      </c>
      <c r="C2576" s="5" t="s">
        <v>11</v>
      </c>
      <c r="D2576" s="5" t="s">
        <v>12</v>
      </c>
      <c r="E2576" s="5" t="s">
        <v>2300</v>
      </c>
    </row>
    <row r="2577" spans="1:5" x14ac:dyDescent="0.25">
      <c r="A2577" s="5">
        <f>2569</f>
      </c>
      <c r="B2577" s="5" t="s">
        <v>2496</v>
      </c>
      <c r="C2577" s="5" t="s">
        <v>11</v>
      </c>
      <c r="D2577" s="5" t="s">
        <v>12</v>
      </c>
      <c r="E2577" s="5" t="s">
        <v>2300</v>
      </c>
    </row>
    <row r="2578" spans="1:5" x14ac:dyDescent="0.25">
      <c r="A2578" s="5">
        <f>2570</f>
      </c>
      <c r="B2578" s="5" t="s">
        <v>2496</v>
      </c>
      <c r="C2578" s="5" t="s">
        <v>11</v>
      </c>
      <c r="D2578" s="5" t="s">
        <v>12</v>
      </c>
      <c r="E2578" s="5" t="s">
        <v>2300</v>
      </c>
    </row>
    <row r="2579" spans="1:5" x14ac:dyDescent="0.25">
      <c r="A2579" s="5">
        <f>2571</f>
      </c>
      <c r="B2579" s="5" t="s">
        <v>2497</v>
      </c>
      <c r="C2579" s="5" t="s">
        <v>11</v>
      </c>
      <c r="D2579" s="5" t="s">
        <v>12</v>
      </c>
      <c r="E2579" s="5" t="s">
        <v>2300</v>
      </c>
    </row>
    <row r="2580" spans="1:5" x14ac:dyDescent="0.25">
      <c r="A2580" s="5">
        <f>2572</f>
      </c>
      <c r="B2580" s="5" t="s">
        <v>2497</v>
      </c>
      <c r="C2580" s="5" t="s">
        <v>11</v>
      </c>
      <c r="D2580" s="5" t="s">
        <v>12</v>
      </c>
      <c r="E2580" s="5" t="s">
        <v>2300</v>
      </c>
    </row>
    <row r="2581" spans="1:5" x14ac:dyDescent="0.25">
      <c r="A2581" s="5">
        <f>2573</f>
      </c>
      <c r="B2581" s="5" t="s">
        <v>2498</v>
      </c>
      <c r="C2581" s="5" t="s">
        <v>11</v>
      </c>
      <c r="D2581" s="5" t="s">
        <v>12</v>
      </c>
      <c r="E2581" s="5" t="s">
        <v>2300</v>
      </c>
    </row>
    <row r="2582" spans="1:5" x14ac:dyDescent="0.25">
      <c r="A2582" s="5">
        <f>2574</f>
      </c>
      <c r="B2582" s="5" t="s">
        <v>2498</v>
      </c>
      <c r="C2582" s="5" t="s">
        <v>11</v>
      </c>
      <c r="D2582" s="5" t="s">
        <v>12</v>
      </c>
      <c r="E2582" s="5" t="s">
        <v>2300</v>
      </c>
    </row>
    <row r="2583" spans="1:5" x14ac:dyDescent="0.25">
      <c r="A2583" s="5">
        <f>2575</f>
      </c>
      <c r="B2583" s="5" t="s">
        <v>2499</v>
      </c>
      <c r="C2583" s="5" t="s">
        <v>11</v>
      </c>
      <c r="D2583" s="5" t="s">
        <v>12</v>
      </c>
      <c r="E2583" s="5" t="s">
        <v>2300</v>
      </c>
    </row>
    <row r="2584" spans="1:5" x14ac:dyDescent="0.25">
      <c r="A2584" s="5">
        <f>2576</f>
      </c>
      <c r="B2584" s="5" t="s">
        <v>2499</v>
      </c>
      <c r="C2584" s="5" t="s">
        <v>11</v>
      </c>
      <c r="D2584" s="5" t="s">
        <v>12</v>
      </c>
      <c r="E2584" s="5" t="s">
        <v>2300</v>
      </c>
    </row>
    <row r="2585" spans="1:5" x14ac:dyDescent="0.25">
      <c r="A2585" s="5">
        <f>2577</f>
      </c>
      <c r="B2585" s="5" t="s">
        <v>2500</v>
      </c>
      <c r="C2585" s="5" t="s">
        <v>11</v>
      </c>
      <c r="D2585" s="5" t="s">
        <v>12</v>
      </c>
      <c r="E2585" s="5" t="s">
        <v>2300</v>
      </c>
    </row>
    <row r="2586" spans="1:5" x14ac:dyDescent="0.25">
      <c r="A2586" s="5">
        <f>2578</f>
      </c>
      <c r="B2586" s="5" t="s">
        <v>2500</v>
      </c>
      <c r="C2586" s="5" t="s">
        <v>11</v>
      </c>
      <c r="D2586" s="5" t="s">
        <v>12</v>
      </c>
      <c r="E2586" s="5" t="s">
        <v>2300</v>
      </c>
    </row>
    <row r="2587" spans="1:5" x14ac:dyDescent="0.25">
      <c r="A2587" s="5">
        <f>2579</f>
      </c>
      <c r="B2587" s="5" t="s">
        <v>2501</v>
      </c>
      <c r="C2587" s="5" t="s">
        <v>11</v>
      </c>
      <c r="D2587" s="5" t="s">
        <v>12</v>
      </c>
      <c r="E2587" s="5" t="s">
        <v>2300</v>
      </c>
    </row>
    <row r="2588" spans="1:5" x14ac:dyDescent="0.25">
      <c r="A2588" s="5">
        <f>2580</f>
      </c>
      <c r="B2588" s="5" t="s">
        <v>2501</v>
      </c>
      <c r="C2588" s="5" t="s">
        <v>11</v>
      </c>
      <c r="D2588" s="5" t="s">
        <v>12</v>
      </c>
      <c r="E2588" s="5" t="s">
        <v>2300</v>
      </c>
    </row>
    <row r="2589" spans="1:5" x14ac:dyDescent="0.25">
      <c r="A2589" s="5">
        <f>2581</f>
      </c>
      <c r="B2589" s="5" t="s">
        <v>2502</v>
      </c>
      <c r="C2589" s="5" t="s">
        <v>11</v>
      </c>
      <c r="D2589" s="5" t="s">
        <v>12</v>
      </c>
      <c r="E2589" s="5" t="s">
        <v>2300</v>
      </c>
    </row>
    <row r="2590" spans="1:5" x14ac:dyDescent="0.25">
      <c r="A2590" s="5">
        <f>2582</f>
      </c>
      <c r="B2590" s="5" t="s">
        <v>2502</v>
      </c>
      <c r="C2590" s="5" t="s">
        <v>11</v>
      </c>
      <c r="D2590" s="5" t="s">
        <v>12</v>
      </c>
      <c r="E2590" s="5" t="s">
        <v>2300</v>
      </c>
    </row>
    <row r="2591" spans="1:5" x14ac:dyDescent="0.25">
      <c r="A2591" s="5">
        <f>2583</f>
      </c>
      <c r="B2591" s="5" t="s">
        <v>2503</v>
      </c>
      <c r="C2591" s="5" t="s">
        <v>11</v>
      </c>
      <c r="D2591" s="5" t="s">
        <v>12</v>
      </c>
      <c r="E2591" s="5" t="s">
        <v>2300</v>
      </c>
    </row>
    <row r="2592" spans="1:5" x14ac:dyDescent="0.25">
      <c r="A2592" s="5">
        <f>2584</f>
      </c>
      <c r="B2592" s="5" t="s">
        <v>2503</v>
      </c>
      <c r="C2592" s="5" t="s">
        <v>11</v>
      </c>
      <c r="D2592" s="5" t="s">
        <v>12</v>
      </c>
      <c r="E2592" s="5" t="s">
        <v>2300</v>
      </c>
    </row>
    <row r="2593" spans="1:5" x14ac:dyDescent="0.25">
      <c r="A2593" s="5">
        <f>2585</f>
      </c>
      <c r="B2593" s="5" t="s">
        <v>2504</v>
      </c>
      <c r="C2593" s="5" t="s">
        <v>11</v>
      </c>
      <c r="D2593" s="5" t="s">
        <v>12</v>
      </c>
      <c r="E2593" s="5" t="s">
        <v>2300</v>
      </c>
    </row>
    <row r="2594" spans="1:5" x14ac:dyDescent="0.25">
      <c r="A2594" s="5">
        <f>2586</f>
      </c>
      <c r="B2594" s="5" t="s">
        <v>2504</v>
      </c>
      <c r="C2594" s="5" t="s">
        <v>11</v>
      </c>
      <c r="D2594" s="5" t="s">
        <v>12</v>
      </c>
      <c r="E2594" s="5" t="s">
        <v>2300</v>
      </c>
    </row>
    <row r="2595" spans="1:5" x14ac:dyDescent="0.25">
      <c r="A2595" s="5">
        <f>2587</f>
      </c>
      <c r="B2595" s="5" t="s">
        <v>2505</v>
      </c>
      <c r="C2595" s="5" t="s">
        <v>11</v>
      </c>
      <c r="D2595" s="5" t="s">
        <v>12</v>
      </c>
      <c r="E2595" s="5" t="s">
        <v>2300</v>
      </c>
    </row>
    <row r="2596" spans="1:5" x14ac:dyDescent="0.25">
      <c r="A2596" s="5">
        <f>2588</f>
      </c>
      <c r="B2596" s="5" t="s">
        <v>2505</v>
      </c>
      <c r="C2596" s="5" t="s">
        <v>11</v>
      </c>
      <c r="D2596" s="5" t="s">
        <v>12</v>
      </c>
      <c r="E2596" s="5" t="s">
        <v>2300</v>
      </c>
    </row>
    <row r="2597" spans="1:5" x14ac:dyDescent="0.25">
      <c r="A2597" s="5">
        <f>2589</f>
      </c>
      <c r="B2597" s="5" t="s">
        <v>2506</v>
      </c>
      <c r="C2597" s="5" t="s">
        <v>11</v>
      </c>
      <c r="D2597" s="5" t="s">
        <v>12</v>
      </c>
      <c r="E2597" s="5" t="s">
        <v>2300</v>
      </c>
    </row>
    <row r="2598" spans="1:5" x14ac:dyDescent="0.25">
      <c r="A2598" s="5">
        <f>2590</f>
      </c>
      <c r="B2598" s="5" t="s">
        <v>2506</v>
      </c>
      <c r="C2598" s="5" t="s">
        <v>11</v>
      </c>
      <c r="D2598" s="5" t="s">
        <v>12</v>
      </c>
      <c r="E2598" s="5" t="s">
        <v>2300</v>
      </c>
    </row>
    <row r="2599" spans="1:5" x14ac:dyDescent="0.25">
      <c r="A2599" s="5">
        <f>2591</f>
      </c>
      <c r="B2599" s="5" t="s">
        <v>2507</v>
      </c>
      <c r="C2599" s="5" t="s">
        <v>11</v>
      </c>
      <c r="D2599" s="5" t="s">
        <v>12</v>
      </c>
      <c r="E2599" s="5" t="s">
        <v>2300</v>
      </c>
    </row>
    <row r="2600" spans="1:5" x14ac:dyDescent="0.25">
      <c r="A2600" s="5">
        <f>2592</f>
      </c>
      <c r="B2600" s="5" t="s">
        <v>2507</v>
      </c>
      <c r="C2600" s="5" t="s">
        <v>11</v>
      </c>
      <c r="D2600" s="5" t="s">
        <v>12</v>
      </c>
      <c r="E2600" s="5" t="s">
        <v>2300</v>
      </c>
    </row>
    <row r="2601" spans="1:5" x14ac:dyDescent="0.25">
      <c r="A2601" s="5">
        <f>2593</f>
      </c>
      <c r="B2601" s="5" t="s">
        <v>2508</v>
      </c>
      <c r="C2601" s="5" t="s">
        <v>11</v>
      </c>
      <c r="D2601" s="5" t="s">
        <v>12</v>
      </c>
      <c r="E2601" s="5" t="s">
        <v>2300</v>
      </c>
    </row>
    <row r="2602" spans="1:5" x14ac:dyDescent="0.25">
      <c r="A2602" s="5">
        <f>2594</f>
      </c>
      <c r="B2602" s="5" t="s">
        <v>2508</v>
      </c>
      <c r="C2602" s="5" t="s">
        <v>11</v>
      </c>
      <c r="D2602" s="5" t="s">
        <v>12</v>
      </c>
      <c r="E2602" s="5" t="s">
        <v>2300</v>
      </c>
    </row>
    <row r="2603" spans="1:5" x14ac:dyDescent="0.25">
      <c r="A2603" s="5">
        <f>2595</f>
      </c>
      <c r="B2603" s="5" t="s">
        <v>2509</v>
      </c>
      <c r="C2603" s="5" t="s">
        <v>11</v>
      </c>
      <c r="D2603" s="5" t="s">
        <v>12</v>
      </c>
      <c r="E2603" s="5" t="s">
        <v>2300</v>
      </c>
    </row>
    <row r="2604" spans="1:5" x14ac:dyDescent="0.25">
      <c r="A2604" s="5">
        <f>2596</f>
      </c>
      <c r="B2604" s="5" t="s">
        <v>2509</v>
      </c>
      <c r="C2604" s="5" t="s">
        <v>11</v>
      </c>
      <c r="D2604" s="5" t="s">
        <v>12</v>
      </c>
      <c r="E2604" s="5" t="s">
        <v>2300</v>
      </c>
    </row>
    <row r="2605" spans="1:5" x14ac:dyDescent="0.25">
      <c r="A2605" s="5">
        <f>2597</f>
      </c>
      <c r="B2605" s="5" t="s">
        <v>2510</v>
      </c>
      <c r="C2605" s="5" t="s">
        <v>11</v>
      </c>
      <c r="D2605" s="5" t="s">
        <v>12</v>
      </c>
      <c r="E2605" s="5" t="s">
        <v>2300</v>
      </c>
    </row>
    <row r="2606" spans="1:5" x14ac:dyDescent="0.25">
      <c r="A2606" s="5">
        <f>2598</f>
      </c>
      <c r="B2606" s="5" t="s">
        <v>2510</v>
      </c>
      <c r="C2606" s="5" t="s">
        <v>11</v>
      </c>
      <c r="D2606" s="5" t="s">
        <v>12</v>
      </c>
      <c r="E2606" s="5" t="s">
        <v>2300</v>
      </c>
    </row>
    <row r="2607" spans="1:5" x14ac:dyDescent="0.25">
      <c r="A2607" s="5">
        <f>2599</f>
      </c>
      <c r="B2607" s="5" t="s">
        <v>2511</v>
      </c>
      <c r="C2607" s="5" t="s">
        <v>11</v>
      </c>
      <c r="D2607" s="5" t="s">
        <v>12</v>
      </c>
      <c r="E2607" s="5" t="s">
        <v>2300</v>
      </c>
    </row>
    <row r="2608" spans="1:5" x14ac:dyDescent="0.25">
      <c r="A2608" s="5">
        <f>2600</f>
      </c>
      <c r="B2608" s="5" t="s">
        <v>2511</v>
      </c>
      <c r="C2608" s="5" t="s">
        <v>11</v>
      </c>
      <c r="D2608" s="5" t="s">
        <v>12</v>
      </c>
      <c r="E2608" s="5" t="s">
        <v>2300</v>
      </c>
    </row>
    <row r="2609" spans="1:5" x14ac:dyDescent="0.25">
      <c r="A2609" s="5">
        <f>2601</f>
      </c>
      <c r="B2609" s="5" t="s">
        <v>2512</v>
      </c>
      <c r="C2609" s="5" t="s">
        <v>11</v>
      </c>
      <c r="D2609" s="5" t="s">
        <v>12</v>
      </c>
      <c r="E2609" s="5" t="s">
        <v>2300</v>
      </c>
    </row>
    <row r="2610" spans="1:5" x14ac:dyDescent="0.25">
      <c r="A2610" s="5">
        <f>2602</f>
      </c>
      <c r="B2610" s="5" t="s">
        <v>2512</v>
      </c>
      <c r="C2610" s="5" t="s">
        <v>11</v>
      </c>
      <c r="D2610" s="5" t="s">
        <v>12</v>
      </c>
      <c r="E2610" s="5" t="s">
        <v>2300</v>
      </c>
    </row>
    <row r="2611" spans="1:5" x14ac:dyDescent="0.25">
      <c r="A2611" s="5">
        <f>2603</f>
      </c>
      <c r="B2611" s="5" t="s">
        <v>2513</v>
      </c>
      <c r="C2611" s="5" t="s">
        <v>11</v>
      </c>
      <c r="D2611" s="5" t="s">
        <v>12</v>
      </c>
      <c r="E2611" s="5" t="s">
        <v>2300</v>
      </c>
    </row>
    <row r="2612" spans="1:5" x14ac:dyDescent="0.25">
      <c r="A2612" s="5">
        <f>2604</f>
      </c>
      <c r="B2612" s="5" t="s">
        <v>2513</v>
      </c>
      <c r="C2612" s="5" t="s">
        <v>11</v>
      </c>
      <c r="D2612" s="5" t="s">
        <v>12</v>
      </c>
      <c r="E2612" s="5" t="s">
        <v>2300</v>
      </c>
    </row>
    <row r="2613" spans="1:5" x14ac:dyDescent="0.25">
      <c r="A2613" s="5">
        <f>2605</f>
      </c>
      <c r="B2613" s="5" t="s">
        <v>2514</v>
      </c>
      <c r="C2613" s="5" t="s">
        <v>11</v>
      </c>
      <c r="D2613" s="5" t="s">
        <v>12</v>
      </c>
      <c r="E2613" s="5" t="s">
        <v>2300</v>
      </c>
    </row>
    <row r="2614" spans="1:5" x14ac:dyDescent="0.25">
      <c r="A2614" s="5">
        <f>2606</f>
      </c>
      <c r="B2614" s="5" t="s">
        <v>2514</v>
      </c>
      <c r="C2614" s="5" t="s">
        <v>11</v>
      </c>
      <c r="D2614" s="5" t="s">
        <v>12</v>
      </c>
      <c r="E2614" s="5" t="s">
        <v>2300</v>
      </c>
    </row>
    <row r="2615" spans="1:5" x14ac:dyDescent="0.25">
      <c r="A2615" s="5">
        <f>2607</f>
      </c>
      <c r="B2615" s="5" t="s">
        <v>2515</v>
      </c>
      <c r="C2615" s="5" t="s">
        <v>11</v>
      </c>
      <c r="D2615" s="5" t="s">
        <v>12</v>
      </c>
      <c r="E2615" s="5" t="s">
        <v>2300</v>
      </c>
    </row>
    <row r="2616" spans="1:5" x14ac:dyDescent="0.25">
      <c r="A2616" s="5">
        <f>2608</f>
      </c>
      <c r="B2616" s="5" t="s">
        <v>2515</v>
      </c>
      <c r="C2616" s="5" t="s">
        <v>11</v>
      </c>
      <c r="D2616" s="5" t="s">
        <v>12</v>
      </c>
      <c r="E2616" s="5" t="s">
        <v>2300</v>
      </c>
    </row>
    <row r="2617" spans="1:5" x14ac:dyDescent="0.25">
      <c r="A2617" s="5">
        <f>2609</f>
      </c>
      <c r="B2617" s="5" t="s">
        <v>2516</v>
      </c>
      <c r="C2617" s="5" t="s">
        <v>11</v>
      </c>
      <c r="D2617" s="5" t="s">
        <v>12</v>
      </c>
      <c r="E2617" s="5" t="s">
        <v>2300</v>
      </c>
    </row>
    <row r="2618" spans="1:5" x14ac:dyDescent="0.25">
      <c r="A2618" s="5">
        <f>2610</f>
      </c>
      <c r="B2618" s="5" t="s">
        <v>2516</v>
      </c>
      <c r="C2618" s="5" t="s">
        <v>11</v>
      </c>
      <c r="D2618" s="5" t="s">
        <v>12</v>
      </c>
      <c r="E2618" s="5" t="s">
        <v>2300</v>
      </c>
    </row>
    <row r="2619" spans="1:5" x14ac:dyDescent="0.25">
      <c r="A2619" s="5">
        <f>2611</f>
      </c>
      <c r="B2619" s="5" t="s">
        <v>2517</v>
      </c>
      <c r="C2619" s="5" t="s">
        <v>11</v>
      </c>
      <c r="D2619" s="5" t="s">
        <v>12</v>
      </c>
      <c r="E2619" s="5" t="s">
        <v>2300</v>
      </c>
    </row>
    <row r="2620" spans="1:5" x14ac:dyDescent="0.25">
      <c r="A2620" s="5">
        <f>2612</f>
      </c>
      <c r="B2620" s="5" t="s">
        <v>2517</v>
      </c>
      <c r="C2620" s="5" t="s">
        <v>11</v>
      </c>
      <c r="D2620" s="5" t="s">
        <v>12</v>
      </c>
      <c r="E2620" s="5" t="s">
        <v>2300</v>
      </c>
    </row>
    <row r="2621" spans="1:5" x14ac:dyDescent="0.25">
      <c r="A2621" s="5">
        <f>2613</f>
      </c>
      <c r="B2621" s="5" t="s">
        <v>2518</v>
      </c>
      <c r="C2621" s="5" t="s">
        <v>11</v>
      </c>
      <c r="D2621" s="5" t="s">
        <v>12</v>
      </c>
      <c r="E2621" s="5" t="s">
        <v>2300</v>
      </c>
    </row>
    <row r="2622" spans="1:5" x14ac:dyDescent="0.25">
      <c r="A2622" s="5">
        <f>2614</f>
      </c>
      <c r="B2622" s="5" t="s">
        <v>2518</v>
      </c>
      <c r="C2622" s="5" t="s">
        <v>11</v>
      </c>
      <c r="D2622" s="5" t="s">
        <v>12</v>
      </c>
      <c r="E2622" s="5" t="s">
        <v>2300</v>
      </c>
    </row>
    <row r="2623" spans="1:5" x14ac:dyDescent="0.25">
      <c r="A2623" s="5">
        <f>2615</f>
      </c>
      <c r="B2623" s="5" t="s">
        <v>2519</v>
      </c>
      <c r="C2623" s="5" t="s">
        <v>11</v>
      </c>
      <c r="D2623" s="5" t="s">
        <v>12</v>
      </c>
      <c r="E2623" s="5" t="s">
        <v>2300</v>
      </c>
    </row>
    <row r="2624" spans="1:5" x14ac:dyDescent="0.25">
      <c r="A2624" s="5">
        <f>2616</f>
      </c>
      <c r="B2624" s="5" t="s">
        <v>2519</v>
      </c>
      <c r="C2624" s="5" t="s">
        <v>11</v>
      </c>
      <c r="D2624" s="5" t="s">
        <v>12</v>
      </c>
      <c r="E2624" s="5" t="s">
        <v>2300</v>
      </c>
    </row>
    <row r="2625" spans="1:5" x14ac:dyDescent="0.25">
      <c r="A2625" s="5">
        <f>2617</f>
      </c>
      <c r="B2625" s="5" t="s">
        <v>2520</v>
      </c>
      <c r="C2625" s="5" t="s">
        <v>11</v>
      </c>
      <c r="D2625" s="5" t="s">
        <v>12</v>
      </c>
      <c r="E2625" s="5" t="s">
        <v>2300</v>
      </c>
    </row>
    <row r="2626" spans="1:5" x14ac:dyDescent="0.25">
      <c r="A2626" s="5">
        <f>2618</f>
      </c>
      <c r="B2626" s="5" t="s">
        <v>2520</v>
      </c>
      <c r="C2626" s="5" t="s">
        <v>11</v>
      </c>
      <c r="D2626" s="5" t="s">
        <v>12</v>
      </c>
      <c r="E2626" s="5" t="s">
        <v>2300</v>
      </c>
    </row>
    <row r="2627" spans="1:5" x14ac:dyDescent="0.25">
      <c r="A2627" s="5">
        <f>2619</f>
      </c>
      <c r="B2627" s="5" t="s">
        <v>2521</v>
      </c>
      <c r="C2627" s="5" t="s">
        <v>11</v>
      </c>
      <c r="D2627" s="5" t="s">
        <v>12</v>
      </c>
      <c r="E2627" s="5" t="s">
        <v>2300</v>
      </c>
    </row>
    <row r="2628" spans="1:5" x14ac:dyDescent="0.25">
      <c r="A2628" s="5">
        <f>2620</f>
      </c>
      <c r="B2628" s="5" t="s">
        <v>2521</v>
      </c>
      <c r="C2628" s="5" t="s">
        <v>11</v>
      </c>
      <c r="D2628" s="5" t="s">
        <v>12</v>
      </c>
      <c r="E2628" s="5" t="s">
        <v>2300</v>
      </c>
    </row>
    <row r="2629" spans="1:5" x14ac:dyDescent="0.25">
      <c r="A2629" s="5">
        <f>2621</f>
      </c>
      <c r="B2629" s="5" t="s">
        <v>2522</v>
      </c>
      <c r="C2629" s="5" t="s">
        <v>11</v>
      </c>
      <c r="D2629" s="5" t="s">
        <v>12</v>
      </c>
      <c r="E2629" s="5" t="s">
        <v>2300</v>
      </c>
    </row>
    <row r="2630" spans="1:5" x14ac:dyDescent="0.25">
      <c r="A2630" s="5">
        <f>2622</f>
      </c>
      <c r="B2630" s="5" t="s">
        <v>2522</v>
      </c>
      <c r="C2630" s="5" t="s">
        <v>11</v>
      </c>
      <c r="D2630" s="5" t="s">
        <v>12</v>
      </c>
      <c r="E2630" s="5" t="s">
        <v>2300</v>
      </c>
    </row>
    <row r="2631" spans="1:5" x14ac:dyDescent="0.25">
      <c r="A2631" s="5">
        <f>2623</f>
      </c>
      <c r="B2631" s="5" t="s">
        <v>2523</v>
      </c>
      <c r="C2631" s="5" t="s">
        <v>11</v>
      </c>
      <c r="D2631" s="5" t="s">
        <v>12</v>
      </c>
      <c r="E2631" s="5" t="s">
        <v>2300</v>
      </c>
    </row>
    <row r="2632" spans="1:5" x14ac:dyDescent="0.25">
      <c r="A2632" s="5">
        <f>2624</f>
      </c>
      <c r="B2632" s="5" t="s">
        <v>2523</v>
      </c>
      <c r="C2632" s="5" t="s">
        <v>11</v>
      </c>
      <c r="D2632" s="5" t="s">
        <v>12</v>
      </c>
      <c r="E2632" s="5" t="s">
        <v>2300</v>
      </c>
    </row>
    <row r="2633" spans="1:5" x14ac:dyDescent="0.25">
      <c r="A2633" s="5">
        <f>2625</f>
      </c>
      <c r="B2633" s="5" t="s">
        <v>2524</v>
      </c>
      <c r="C2633" s="5" t="s">
        <v>11</v>
      </c>
      <c r="D2633" s="5" t="s">
        <v>12</v>
      </c>
      <c r="E2633" s="5" t="s">
        <v>2300</v>
      </c>
    </row>
    <row r="2634" spans="1:5" x14ac:dyDescent="0.25">
      <c r="A2634" s="5">
        <f>2626</f>
      </c>
      <c r="B2634" s="5" t="s">
        <v>2524</v>
      </c>
      <c r="C2634" s="5" t="s">
        <v>11</v>
      </c>
      <c r="D2634" s="5" t="s">
        <v>12</v>
      </c>
      <c r="E2634" s="5" t="s">
        <v>2300</v>
      </c>
    </row>
    <row r="2635" spans="1:5" x14ac:dyDescent="0.25">
      <c r="A2635" s="5">
        <f>2627</f>
      </c>
      <c r="B2635" s="5" t="s">
        <v>2525</v>
      </c>
      <c r="C2635" s="5" t="s">
        <v>11</v>
      </c>
      <c r="D2635" s="5" t="s">
        <v>12</v>
      </c>
      <c r="E2635" s="5" t="s">
        <v>2300</v>
      </c>
    </row>
    <row r="2636" spans="1:5" x14ac:dyDescent="0.25">
      <c r="A2636" s="5">
        <f>2628</f>
      </c>
      <c r="B2636" s="5" t="s">
        <v>2525</v>
      </c>
      <c r="C2636" s="5" t="s">
        <v>11</v>
      </c>
      <c r="D2636" s="5" t="s">
        <v>12</v>
      </c>
      <c r="E2636" s="5" t="s">
        <v>2300</v>
      </c>
    </row>
    <row r="2637" spans="1:5" x14ac:dyDescent="0.25">
      <c r="A2637" s="5">
        <f>2629</f>
      </c>
      <c r="B2637" s="5" t="s">
        <v>2526</v>
      </c>
      <c r="C2637" s="5" t="s">
        <v>11</v>
      </c>
      <c r="D2637" s="5" t="s">
        <v>12</v>
      </c>
      <c r="E2637" s="5" t="s">
        <v>2300</v>
      </c>
    </row>
    <row r="2638" spans="1:5" x14ac:dyDescent="0.25">
      <c r="A2638" s="5">
        <f>2630</f>
      </c>
      <c r="B2638" s="5" t="s">
        <v>2526</v>
      </c>
      <c r="C2638" s="5" t="s">
        <v>11</v>
      </c>
      <c r="D2638" s="5" t="s">
        <v>12</v>
      </c>
      <c r="E2638" s="5" t="s">
        <v>2300</v>
      </c>
    </row>
    <row r="2639" spans="1:5" x14ac:dyDescent="0.25">
      <c r="A2639" s="5">
        <f>2631</f>
      </c>
      <c r="B2639" s="5" t="s">
        <v>2527</v>
      </c>
      <c r="C2639" s="5" t="s">
        <v>11</v>
      </c>
      <c r="D2639" s="5" t="s">
        <v>12</v>
      </c>
      <c r="E2639" s="5" t="s">
        <v>2300</v>
      </c>
    </row>
    <row r="2640" spans="1:5" x14ac:dyDescent="0.25">
      <c r="A2640" s="5">
        <f>2632</f>
      </c>
      <c r="B2640" s="5" t="s">
        <v>2527</v>
      </c>
      <c r="C2640" s="5" t="s">
        <v>11</v>
      </c>
      <c r="D2640" s="5" t="s">
        <v>12</v>
      </c>
      <c r="E2640" s="5" t="s">
        <v>2300</v>
      </c>
    </row>
    <row r="2641" spans="1:5" x14ac:dyDescent="0.25">
      <c r="A2641" s="5">
        <f>2633</f>
      </c>
      <c r="B2641" s="5" t="s">
        <v>2528</v>
      </c>
      <c r="C2641" s="5" t="s">
        <v>11</v>
      </c>
      <c r="D2641" s="5" t="s">
        <v>12</v>
      </c>
      <c r="E2641" s="5" t="s">
        <v>2300</v>
      </c>
    </row>
    <row r="2642" spans="1:5" x14ac:dyDescent="0.25">
      <c r="A2642" s="5">
        <f>2634</f>
      </c>
      <c r="B2642" s="5" t="s">
        <v>2528</v>
      </c>
      <c r="C2642" s="5" t="s">
        <v>11</v>
      </c>
      <c r="D2642" s="5" t="s">
        <v>12</v>
      </c>
      <c r="E2642" s="5" t="s">
        <v>2300</v>
      </c>
    </row>
    <row r="2643" spans="1:5" x14ac:dyDescent="0.25">
      <c r="A2643" s="5">
        <f>2635</f>
      </c>
      <c r="B2643" s="5" t="s">
        <v>2529</v>
      </c>
      <c r="C2643" s="5" t="s">
        <v>11</v>
      </c>
      <c r="D2643" s="5" t="s">
        <v>12</v>
      </c>
      <c r="E2643" s="5" t="s">
        <v>2300</v>
      </c>
    </row>
    <row r="2644" spans="1:5" x14ac:dyDescent="0.25">
      <c r="A2644" s="5">
        <f>2636</f>
      </c>
      <c r="B2644" s="5" t="s">
        <v>2529</v>
      </c>
      <c r="C2644" s="5" t="s">
        <v>11</v>
      </c>
      <c r="D2644" s="5" t="s">
        <v>12</v>
      </c>
      <c r="E2644" s="5" t="s">
        <v>2300</v>
      </c>
    </row>
    <row r="2645" spans="1:5" x14ac:dyDescent="0.25">
      <c r="A2645" s="5">
        <f>2637</f>
      </c>
      <c r="B2645" s="5" t="s">
        <v>2530</v>
      </c>
      <c r="C2645" s="5" t="s">
        <v>11</v>
      </c>
      <c r="D2645" s="5" t="s">
        <v>12</v>
      </c>
      <c r="E2645" s="5" t="s">
        <v>2300</v>
      </c>
    </row>
    <row r="2646" spans="1:5" x14ac:dyDescent="0.25">
      <c r="A2646" s="5">
        <f>2638</f>
      </c>
      <c r="B2646" s="5" t="s">
        <v>2530</v>
      </c>
      <c r="C2646" s="5" t="s">
        <v>11</v>
      </c>
      <c r="D2646" s="5" t="s">
        <v>12</v>
      </c>
      <c r="E2646" s="5" t="s">
        <v>2300</v>
      </c>
    </row>
    <row r="2647" spans="1:5" x14ac:dyDescent="0.25">
      <c r="A2647" s="5">
        <f>2639</f>
      </c>
      <c r="B2647" s="5" t="s">
        <v>2531</v>
      </c>
      <c r="C2647" s="5" t="s">
        <v>11</v>
      </c>
      <c r="D2647" s="5" t="s">
        <v>12</v>
      </c>
      <c r="E2647" s="5" t="s">
        <v>2300</v>
      </c>
    </row>
    <row r="2648" spans="1:5" x14ac:dyDescent="0.25">
      <c r="A2648" s="5">
        <f>2640</f>
      </c>
      <c r="B2648" s="5" t="s">
        <v>2531</v>
      </c>
      <c r="C2648" s="5" t="s">
        <v>11</v>
      </c>
      <c r="D2648" s="5" t="s">
        <v>12</v>
      </c>
      <c r="E2648" s="5" t="s">
        <v>2300</v>
      </c>
    </row>
    <row r="2649" spans="1:5" x14ac:dyDescent="0.25">
      <c r="A2649" s="5">
        <f>2641</f>
      </c>
      <c r="B2649" s="5" t="s">
        <v>2532</v>
      </c>
      <c r="C2649" s="5" t="s">
        <v>11</v>
      </c>
      <c r="D2649" s="5" t="s">
        <v>12</v>
      </c>
      <c r="E2649" s="5" t="s">
        <v>2300</v>
      </c>
    </row>
    <row r="2650" spans="1:5" x14ac:dyDescent="0.25">
      <c r="A2650" s="5">
        <f>2642</f>
      </c>
      <c r="B2650" s="5" t="s">
        <v>2532</v>
      </c>
      <c r="C2650" s="5" t="s">
        <v>11</v>
      </c>
      <c r="D2650" s="5" t="s">
        <v>12</v>
      </c>
      <c r="E2650" s="5" t="s">
        <v>2300</v>
      </c>
    </row>
    <row r="2651" spans="1:5" x14ac:dyDescent="0.25">
      <c r="A2651" s="5">
        <f>2643</f>
      </c>
      <c r="B2651" s="5" t="s">
        <v>2533</v>
      </c>
      <c r="C2651" s="5" t="s">
        <v>11</v>
      </c>
      <c r="D2651" s="5" t="s">
        <v>12</v>
      </c>
      <c r="E2651" s="5" t="s">
        <v>2300</v>
      </c>
    </row>
    <row r="2652" spans="1:5" x14ac:dyDescent="0.25">
      <c r="A2652" s="5">
        <f>2644</f>
      </c>
      <c r="B2652" s="5" t="s">
        <v>2533</v>
      </c>
      <c r="C2652" s="5" t="s">
        <v>11</v>
      </c>
      <c r="D2652" s="5" t="s">
        <v>12</v>
      </c>
      <c r="E2652" s="5" t="s">
        <v>2300</v>
      </c>
    </row>
    <row r="2653" spans="1:5" x14ac:dyDescent="0.25">
      <c r="A2653" s="5">
        <f>2645</f>
      </c>
      <c r="B2653" s="5" t="s">
        <v>2534</v>
      </c>
      <c r="C2653" s="5" t="s">
        <v>11</v>
      </c>
      <c r="D2653" s="5" t="s">
        <v>12</v>
      </c>
      <c r="E2653" s="5" t="s">
        <v>2300</v>
      </c>
    </row>
    <row r="2654" spans="1:5" x14ac:dyDescent="0.25">
      <c r="A2654" s="5">
        <f>2646</f>
      </c>
      <c r="B2654" s="5" t="s">
        <v>2534</v>
      </c>
      <c r="C2654" s="5" t="s">
        <v>11</v>
      </c>
      <c r="D2654" s="5" t="s">
        <v>12</v>
      </c>
      <c r="E2654" s="5" t="s">
        <v>2300</v>
      </c>
    </row>
    <row r="2655" spans="1:5" x14ac:dyDescent="0.25">
      <c r="A2655" s="5">
        <f>2647</f>
      </c>
      <c r="B2655" s="5" t="s">
        <v>2535</v>
      </c>
      <c r="C2655" s="5" t="s">
        <v>11</v>
      </c>
      <c r="D2655" s="5" t="s">
        <v>12</v>
      </c>
      <c r="E2655" s="5" t="s">
        <v>2300</v>
      </c>
    </row>
    <row r="2656" spans="1:5" x14ac:dyDescent="0.25">
      <c r="A2656" s="5">
        <f>2648</f>
      </c>
      <c r="B2656" s="5" t="s">
        <v>2535</v>
      </c>
      <c r="C2656" s="5" t="s">
        <v>11</v>
      </c>
      <c r="D2656" s="5" t="s">
        <v>12</v>
      </c>
      <c r="E2656" s="5" t="s">
        <v>2300</v>
      </c>
    </row>
    <row r="2657" spans="1:5" x14ac:dyDescent="0.25">
      <c r="A2657" s="5">
        <f>2649</f>
      </c>
      <c r="B2657" s="5" t="s">
        <v>2536</v>
      </c>
      <c r="C2657" s="5" t="s">
        <v>11</v>
      </c>
      <c r="D2657" s="5" t="s">
        <v>12</v>
      </c>
      <c r="E2657" s="5" t="s">
        <v>2300</v>
      </c>
    </row>
    <row r="2658" spans="1:5" x14ac:dyDescent="0.25">
      <c r="A2658" s="5">
        <f>2650</f>
      </c>
      <c r="B2658" s="5" t="s">
        <v>2536</v>
      </c>
      <c r="C2658" s="5" t="s">
        <v>11</v>
      </c>
      <c r="D2658" s="5" t="s">
        <v>12</v>
      </c>
      <c r="E2658" s="5" t="s">
        <v>2300</v>
      </c>
    </row>
    <row r="2659" spans="1:5" x14ac:dyDescent="0.25">
      <c r="A2659" s="5">
        <f>2651</f>
      </c>
      <c r="B2659" s="5" t="s">
        <v>2537</v>
      </c>
      <c r="C2659" s="5" t="s">
        <v>11</v>
      </c>
      <c r="D2659" s="5" t="s">
        <v>12</v>
      </c>
      <c r="E2659" s="5" t="s">
        <v>2300</v>
      </c>
    </row>
    <row r="2660" spans="1:5" x14ac:dyDescent="0.25">
      <c r="A2660" s="5">
        <f>2652</f>
      </c>
      <c r="B2660" s="5" t="s">
        <v>2537</v>
      </c>
      <c r="C2660" s="5" t="s">
        <v>11</v>
      </c>
      <c r="D2660" s="5" t="s">
        <v>12</v>
      </c>
      <c r="E2660" s="5" t="s">
        <v>2300</v>
      </c>
    </row>
    <row r="2661" spans="1:5" x14ac:dyDescent="0.25">
      <c r="A2661" s="5">
        <f>2653</f>
      </c>
      <c r="B2661" s="5" t="s">
        <v>2538</v>
      </c>
      <c r="C2661" s="5" t="s">
        <v>11</v>
      </c>
      <c r="D2661" s="5" t="s">
        <v>12</v>
      </c>
      <c r="E2661" s="5" t="s">
        <v>2300</v>
      </c>
    </row>
    <row r="2662" spans="1:5" x14ac:dyDescent="0.25">
      <c r="A2662" s="5">
        <f>2654</f>
      </c>
      <c r="B2662" s="5" t="s">
        <v>2538</v>
      </c>
      <c r="C2662" s="5" t="s">
        <v>11</v>
      </c>
      <c r="D2662" s="5" t="s">
        <v>12</v>
      </c>
      <c r="E2662" s="5" t="s">
        <v>2300</v>
      </c>
    </row>
    <row r="2663" spans="1:5" x14ac:dyDescent="0.25">
      <c r="A2663" s="5">
        <f>2655</f>
      </c>
      <c r="B2663" s="5" t="s">
        <v>2539</v>
      </c>
      <c r="C2663" s="5" t="s">
        <v>11</v>
      </c>
      <c r="D2663" s="5" t="s">
        <v>12</v>
      </c>
      <c r="E2663" s="5" t="s">
        <v>2300</v>
      </c>
    </row>
    <row r="2664" spans="1:5" x14ac:dyDescent="0.25">
      <c r="A2664" s="5">
        <f>2656</f>
      </c>
      <c r="B2664" s="5" t="s">
        <v>2539</v>
      </c>
      <c r="C2664" s="5" t="s">
        <v>11</v>
      </c>
      <c r="D2664" s="5" t="s">
        <v>12</v>
      </c>
      <c r="E2664" s="5" t="s">
        <v>2300</v>
      </c>
    </row>
    <row r="2665" spans="1:5" x14ac:dyDescent="0.25">
      <c r="A2665" s="5">
        <f>2657</f>
      </c>
      <c r="B2665" s="5" t="s">
        <v>2540</v>
      </c>
      <c r="C2665" s="5" t="s">
        <v>11</v>
      </c>
      <c r="D2665" s="5" t="s">
        <v>12</v>
      </c>
      <c r="E2665" s="5" t="s">
        <v>2300</v>
      </c>
    </row>
    <row r="2666" spans="1:5" x14ac:dyDescent="0.25">
      <c r="A2666" s="5">
        <f>2658</f>
      </c>
      <c r="B2666" s="5" t="s">
        <v>2540</v>
      </c>
      <c r="C2666" s="5" t="s">
        <v>11</v>
      </c>
      <c r="D2666" s="5" t="s">
        <v>12</v>
      </c>
      <c r="E2666" s="5" t="s">
        <v>2300</v>
      </c>
    </row>
    <row r="2667" spans="1:5" x14ac:dyDescent="0.25">
      <c r="A2667" s="5">
        <f>2659</f>
      </c>
      <c r="B2667" s="5" t="s">
        <v>2541</v>
      </c>
      <c r="C2667" s="5" t="s">
        <v>11</v>
      </c>
      <c r="D2667" s="5" t="s">
        <v>12</v>
      </c>
      <c r="E2667" s="5" t="s">
        <v>2300</v>
      </c>
    </row>
    <row r="2668" spans="1:5" x14ac:dyDescent="0.25">
      <c r="A2668" s="5">
        <f>2660</f>
      </c>
      <c r="B2668" s="5" t="s">
        <v>2541</v>
      </c>
      <c r="C2668" s="5" t="s">
        <v>11</v>
      </c>
      <c r="D2668" s="5" t="s">
        <v>12</v>
      </c>
      <c r="E2668" s="5" t="s">
        <v>2300</v>
      </c>
    </row>
    <row r="2669" spans="1:5" x14ac:dyDescent="0.25">
      <c r="A2669" s="5">
        <f>2661</f>
      </c>
      <c r="B2669" s="5" t="s">
        <v>2542</v>
      </c>
      <c r="C2669" s="5" t="s">
        <v>11</v>
      </c>
      <c r="D2669" s="5" t="s">
        <v>12</v>
      </c>
      <c r="E2669" s="5" t="s">
        <v>2300</v>
      </c>
    </row>
    <row r="2670" spans="1:5" x14ac:dyDescent="0.25">
      <c r="A2670" s="5">
        <f>2662</f>
      </c>
      <c r="B2670" s="5" t="s">
        <v>2542</v>
      </c>
      <c r="C2670" s="5" t="s">
        <v>11</v>
      </c>
      <c r="D2670" s="5" t="s">
        <v>12</v>
      </c>
      <c r="E2670" s="5" t="s">
        <v>2300</v>
      </c>
    </row>
    <row r="2671" spans="1:5" x14ac:dyDescent="0.25">
      <c r="A2671" s="5">
        <f>2663</f>
      </c>
      <c r="B2671" s="5" t="s">
        <v>2543</v>
      </c>
      <c r="C2671" s="5" t="s">
        <v>11</v>
      </c>
      <c r="D2671" s="5" t="s">
        <v>12</v>
      </c>
      <c r="E2671" s="5" t="s">
        <v>2300</v>
      </c>
    </row>
    <row r="2672" spans="1:5" x14ac:dyDescent="0.25">
      <c r="A2672" s="5">
        <f>2664</f>
      </c>
      <c r="B2672" s="5" t="s">
        <v>2543</v>
      </c>
      <c r="C2672" s="5" t="s">
        <v>11</v>
      </c>
      <c r="D2672" s="5" t="s">
        <v>12</v>
      </c>
      <c r="E2672" s="5" t="s">
        <v>2300</v>
      </c>
    </row>
    <row r="2673" spans="1:5" x14ac:dyDescent="0.25">
      <c r="A2673" s="5">
        <f>2665</f>
      </c>
      <c r="B2673" s="5" t="s">
        <v>2544</v>
      </c>
      <c r="C2673" s="5" t="s">
        <v>11</v>
      </c>
      <c r="D2673" s="5" t="s">
        <v>12</v>
      </c>
      <c r="E2673" s="5" t="s">
        <v>2300</v>
      </c>
    </row>
    <row r="2674" spans="1:5" x14ac:dyDescent="0.25">
      <c r="A2674" s="5">
        <f>2666</f>
      </c>
      <c r="B2674" s="5" t="s">
        <v>2544</v>
      </c>
      <c r="C2674" s="5" t="s">
        <v>11</v>
      </c>
      <c r="D2674" s="5" t="s">
        <v>12</v>
      </c>
      <c r="E2674" s="5" t="s">
        <v>2300</v>
      </c>
    </row>
    <row r="2675" spans="1:5" x14ac:dyDescent="0.25">
      <c r="A2675" s="5">
        <f>2667</f>
      </c>
      <c r="B2675" s="5" t="s">
        <v>2545</v>
      </c>
      <c r="C2675" s="5" t="s">
        <v>11</v>
      </c>
      <c r="D2675" s="5" t="s">
        <v>12</v>
      </c>
      <c r="E2675" s="5" t="s">
        <v>2300</v>
      </c>
    </row>
    <row r="2676" spans="1:5" x14ac:dyDescent="0.25">
      <c r="A2676" s="5">
        <f>2668</f>
      </c>
      <c r="B2676" s="5" t="s">
        <v>2545</v>
      </c>
      <c r="C2676" s="5" t="s">
        <v>11</v>
      </c>
      <c r="D2676" s="5" t="s">
        <v>12</v>
      </c>
      <c r="E2676" s="5" t="s">
        <v>2300</v>
      </c>
    </row>
    <row r="2677" spans="1:5" x14ac:dyDescent="0.25">
      <c r="A2677" s="5">
        <f>2669</f>
      </c>
      <c r="B2677" s="5" t="s">
        <v>2546</v>
      </c>
      <c r="C2677" s="5" t="s">
        <v>11</v>
      </c>
      <c r="D2677" s="5" t="s">
        <v>12</v>
      </c>
      <c r="E2677" s="5" t="s">
        <v>2300</v>
      </c>
    </row>
    <row r="2678" spans="1:5" x14ac:dyDescent="0.25">
      <c r="A2678" s="5">
        <f>2670</f>
      </c>
      <c r="B2678" s="5" t="s">
        <v>2546</v>
      </c>
      <c r="C2678" s="5" t="s">
        <v>11</v>
      </c>
      <c r="D2678" s="5" t="s">
        <v>12</v>
      </c>
      <c r="E2678" s="5" t="s">
        <v>2300</v>
      </c>
    </row>
    <row r="2679" spans="1:5" x14ac:dyDescent="0.25">
      <c r="A2679" s="5">
        <f>2671</f>
      </c>
      <c r="B2679" s="5" t="s">
        <v>2547</v>
      </c>
      <c r="C2679" s="5" t="s">
        <v>11</v>
      </c>
      <c r="D2679" s="5" t="s">
        <v>12</v>
      </c>
      <c r="E2679" s="5" t="s">
        <v>2300</v>
      </c>
    </row>
    <row r="2680" spans="1:5" x14ac:dyDescent="0.25">
      <c r="A2680" s="5">
        <f>2672</f>
      </c>
      <c r="B2680" s="5" t="s">
        <v>2547</v>
      </c>
      <c r="C2680" s="5" t="s">
        <v>11</v>
      </c>
      <c r="D2680" s="5" t="s">
        <v>12</v>
      </c>
      <c r="E2680" s="5" t="s">
        <v>2300</v>
      </c>
    </row>
    <row r="2681" spans="1:5" x14ac:dyDescent="0.25">
      <c r="A2681" s="5">
        <f>2673</f>
      </c>
      <c r="B2681" s="5" t="s">
        <v>2548</v>
      </c>
      <c r="C2681" s="5" t="s">
        <v>11</v>
      </c>
      <c r="D2681" s="5" t="s">
        <v>12</v>
      </c>
      <c r="E2681" s="5" t="s">
        <v>2300</v>
      </c>
    </row>
    <row r="2682" spans="1:5" x14ac:dyDescent="0.25">
      <c r="A2682" s="5">
        <f>2674</f>
      </c>
      <c r="B2682" s="5" t="s">
        <v>2548</v>
      </c>
      <c r="C2682" s="5" t="s">
        <v>11</v>
      </c>
      <c r="D2682" s="5" t="s">
        <v>12</v>
      </c>
      <c r="E2682" s="5" t="s">
        <v>2300</v>
      </c>
    </row>
    <row r="2683" spans="1:5" x14ac:dyDescent="0.25">
      <c r="A2683" s="5">
        <f>2675</f>
      </c>
      <c r="B2683" s="5" t="s">
        <v>2549</v>
      </c>
      <c r="C2683" s="5" t="s">
        <v>11</v>
      </c>
      <c r="D2683" s="5" t="s">
        <v>12</v>
      </c>
      <c r="E2683" s="5" t="s">
        <v>2300</v>
      </c>
    </row>
    <row r="2684" spans="1:5" x14ac:dyDescent="0.25">
      <c r="A2684" s="5">
        <f>2676</f>
      </c>
      <c r="B2684" s="5" t="s">
        <v>2549</v>
      </c>
      <c r="C2684" s="5" t="s">
        <v>11</v>
      </c>
      <c r="D2684" s="5" t="s">
        <v>12</v>
      </c>
      <c r="E2684" s="5" t="s">
        <v>2300</v>
      </c>
    </row>
    <row r="2685" spans="1:5" x14ac:dyDescent="0.25">
      <c r="A2685" s="5">
        <f>2677</f>
      </c>
      <c r="B2685" s="5" t="s">
        <v>2550</v>
      </c>
      <c r="C2685" s="5" t="s">
        <v>11</v>
      </c>
      <c r="D2685" s="5" t="s">
        <v>12</v>
      </c>
      <c r="E2685" s="5" t="s">
        <v>2300</v>
      </c>
    </row>
    <row r="2686" spans="1:5" x14ac:dyDescent="0.25">
      <c r="A2686" s="5">
        <f>2678</f>
      </c>
      <c r="B2686" s="5" t="s">
        <v>2550</v>
      </c>
      <c r="C2686" s="5" t="s">
        <v>11</v>
      </c>
      <c r="D2686" s="5" t="s">
        <v>12</v>
      </c>
      <c r="E2686" s="5" t="s">
        <v>2300</v>
      </c>
    </row>
    <row r="2687" spans="1:5" x14ac:dyDescent="0.25">
      <c r="A2687" s="5">
        <f>2679</f>
      </c>
      <c r="B2687" s="5" t="s">
        <v>2551</v>
      </c>
      <c r="C2687" s="5" t="s">
        <v>11</v>
      </c>
      <c r="D2687" s="5" t="s">
        <v>12</v>
      </c>
      <c r="E2687" s="5" t="s">
        <v>2300</v>
      </c>
    </row>
    <row r="2688" spans="1:5" x14ac:dyDescent="0.25">
      <c r="A2688" s="5">
        <f>2680</f>
      </c>
      <c r="B2688" s="5" t="s">
        <v>2551</v>
      </c>
      <c r="C2688" s="5" t="s">
        <v>11</v>
      </c>
      <c r="D2688" s="5" t="s">
        <v>12</v>
      </c>
      <c r="E2688" s="5" t="s">
        <v>2300</v>
      </c>
    </row>
    <row r="2689" spans="1:5" x14ac:dyDescent="0.25">
      <c r="A2689" s="5">
        <f>2681</f>
      </c>
      <c r="B2689" s="5" t="s">
        <v>2552</v>
      </c>
      <c r="C2689" s="5" t="s">
        <v>11</v>
      </c>
      <c r="D2689" s="5" t="s">
        <v>12</v>
      </c>
      <c r="E2689" s="5" t="s">
        <v>2300</v>
      </c>
    </row>
    <row r="2690" spans="1:5" x14ac:dyDescent="0.25">
      <c r="A2690" s="5">
        <f>2682</f>
      </c>
      <c r="B2690" s="5" t="s">
        <v>2552</v>
      </c>
      <c r="C2690" s="5" t="s">
        <v>11</v>
      </c>
      <c r="D2690" s="5" t="s">
        <v>12</v>
      </c>
      <c r="E2690" s="5" t="s">
        <v>2300</v>
      </c>
    </row>
    <row r="2691" spans="1:5" x14ac:dyDescent="0.25">
      <c r="A2691" s="5">
        <f>2683</f>
      </c>
      <c r="B2691" s="5" t="s">
        <v>2553</v>
      </c>
      <c r="C2691" s="5" t="s">
        <v>11</v>
      </c>
      <c r="D2691" s="5" t="s">
        <v>12</v>
      </c>
      <c r="E2691" s="5" t="s">
        <v>2300</v>
      </c>
    </row>
    <row r="2692" spans="1:5" x14ac:dyDescent="0.25">
      <c r="A2692" s="5">
        <f>2684</f>
      </c>
      <c r="B2692" s="5" t="s">
        <v>2553</v>
      </c>
      <c r="C2692" s="5" t="s">
        <v>11</v>
      </c>
      <c r="D2692" s="5" t="s">
        <v>12</v>
      </c>
      <c r="E2692" s="5" t="s">
        <v>2300</v>
      </c>
    </row>
    <row r="2693" spans="1:5" x14ac:dyDescent="0.25">
      <c r="A2693" s="5">
        <f>2685</f>
      </c>
      <c r="B2693" s="5" t="s">
        <v>2554</v>
      </c>
      <c r="C2693" s="5" t="s">
        <v>11</v>
      </c>
      <c r="D2693" s="5" t="s">
        <v>12</v>
      </c>
      <c r="E2693" s="5" t="s">
        <v>2300</v>
      </c>
    </row>
    <row r="2694" spans="1:5" x14ac:dyDescent="0.25">
      <c r="A2694" s="5">
        <f>2686</f>
      </c>
      <c r="B2694" s="5" t="s">
        <v>2554</v>
      </c>
      <c r="C2694" s="5" t="s">
        <v>11</v>
      </c>
      <c r="D2694" s="5" t="s">
        <v>12</v>
      </c>
      <c r="E2694" s="5" t="s">
        <v>2300</v>
      </c>
    </row>
    <row r="2695" spans="1:5" x14ac:dyDescent="0.25">
      <c r="A2695" s="5">
        <f>2687</f>
      </c>
      <c r="B2695" s="5" t="s">
        <v>2555</v>
      </c>
      <c r="C2695" s="5" t="s">
        <v>11</v>
      </c>
      <c r="D2695" s="5" t="s">
        <v>12</v>
      </c>
      <c r="E2695" s="5" t="s">
        <v>2300</v>
      </c>
    </row>
    <row r="2696" spans="1:5" x14ac:dyDescent="0.25">
      <c r="A2696" s="5">
        <f>2688</f>
      </c>
      <c r="B2696" s="5" t="s">
        <v>2555</v>
      </c>
      <c r="C2696" s="5" t="s">
        <v>11</v>
      </c>
      <c r="D2696" s="5" t="s">
        <v>12</v>
      </c>
      <c r="E2696" s="5" t="s">
        <v>2300</v>
      </c>
    </row>
    <row r="2697" spans="1:5" x14ac:dyDescent="0.25">
      <c r="A2697" s="5">
        <f>2689</f>
      </c>
      <c r="B2697" s="5" t="s">
        <v>2556</v>
      </c>
      <c r="C2697" s="5" t="s">
        <v>11</v>
      </c>
      <c r="D2697" s="5" t="s">
        <v>12</v>
      </c>
      <c r="E2697" s="5" t="s">
        <v>2300</v>
      </c>
    </row>
    <row r="2698" spans="1:5" x14ac:dyDescent="0.25">
      <c r="A2698" s="5">
        <f>2690</f>
      </c>
      <c r="B2698" s="5" t="s">
        <v>2556</v>
      </c>
      <c r="C2698" s="5" t="s">
        <v>11</v>
      </c>
      <c r="D2698" s="5" t="s">
        <v>12</v>
      </c>
      <c r="E2698" s="5" t="s">
        <v>2300</v>
      </c>
    </row>
    <row r="2699" spans="1:5" x14ac:dyDescent="0.25">
      <c r="A2699" s="5">
        <f>2691</f>
      </c>
      <c r="B2699" s="5" t="s">
        <v>2557</v>
      </c>
      <c r="C2699" s="5" t="s">
        <v>11</v>
      </c>
      <c r="D2699" s="5" t="s">
        <v>12</v>
      </c>
      <c r="E2699" s="5" t="s">
        <v>2300</v>
      </c>
    </row>
    <row r="2700" spans="1:5" x14ac:dyDescent="0.25">
      <c r="A2700" s="5">
        <f>2692</f>
      </c>
      <c r="B2700" s="5" t="s">
        <v>2557</v>
      </c>
      <c r="C2700" s="5" t="s">
        <v>11</v>
      </c>
      <c r="D2700" s="5" t="s">
        <v>12</v>
      </c>
      <c r="E2700" s="5" t="s">
        <v>2300</v>
      </c>
    </row>
    <row r="2701" spans="1:5" x14ac:dyDescent="0.25">
      <c r="A2701" s="5">
        <f>2693</f>
      </c>
      <c r="B2701" s="5" t="s">
        <v>2558</v>
      </c>
      <c r="C2701" s="5" t="s">
        <v>11</v>
      </c>
      <c r="D2701" s="5" t="s">
        <v>12</v>
      </c>
      <c r="E2701" s="5" t="s">
        <v>2300</v>
      </c>
    </row>
    <row r="2702" spans="1:5" x14ac:dyDescent="0.25">
      <c r="A2702" s="5">
        <f>2694</f>
      </c>
      <c r="B2702" s="5" t="s">
        <v>2558</v>
      </c>
      <c r="C2702" s="5" t="s">
        <v>11</v>
      </c>
      <c r="D2702" s="5" t="s">
        <v>12</v>
      </c>
      <c r="E2702" s="5" t="s">
        <v>2300</v>
      </c>
    </row>
    <row r="2703" spans="1:5" x14ac:dyDescent="0.25">
      <c r="A2703" s="5">
        <f>2695</f>
      </c>
      <c r="B2703" s="5" t="s">
        <v>2559</v>
      </c>
      <c r="C2703" s="5" t="s">
        <v>11</v>
      </c>
      <c r="D2703" s="5" t="s">
        <v>12</v>
      </c>
      <c r="E2703" s="5" t="s">
        <v>2300</v>
      </c>
    </row>
    <row r="2704" spans="1:5" x14ac:dyDescent="0.25">
      <c r="A2704" s="5">
        <f>2696</f>
      </c>
      <c r="B2704" s="5" t="s">
        <v>2559</v>
      </c>
      <c r="C2704" s="5" t="s">
        <v>11</v>
      </c>
      <c r="D2704" s="5" t="s">
        <v>12</v>
      </c>
      <c r="E2704" s="5" t="s">
        <v>2300</v>
      </c>
    </row>
    <row r="2705" spans="1:5" x14ac:dyDescent="0.25">
      <c r="A2705" s="5">
        <f>2697</f>
      </c>
      <c r="B2705" s="5" t="s">
        <v>2560</v>
      </c>
      <c r="C2705" s="5" t="s">
        <v>11</v>
      </c>
      <c r="D2705" s="5" t="s">
        <v>12</v>
      </c>
      <c r="E2705" s="5" t="s">
        <v>2300</v>
      </c>
    </row>
    <row r="2706" spans="1:5" x14ac:dyDescent="0.25">
      <c r="A2706" s="5">
        <f>2698</f>
      </c>
      <c r="B2706" s="5" t="s">
        <v>2560</v>
      </c>
      <c r="C2706" s="5" t="s">
        <v>11</v>
      </c>
      <c r="D2706" s="5" t="s">
        <v>12</v>
      </c>
      <c r="E2706" s="5" t="s">
        <v>2300</v>
      </c>
    </row>
    <row r="2707" spans="1:5" x14ac:dyDescent="0.25">
      <c r="A2707" s="5">
        <f>2699</f>
      </c>
      <c r="B2707" s="5" t="s">
        <v>2561</v>
      </c>
      <c r="C2707" s="5" t="s">
        <v>11</v>
      </c>
      <c r="D2707" s="5" t="s">
        <v>12</v>
      </c>
      <c r="E2707" s="5" t="s">
        <v>2300</v>
      </c>
    </row>
    <row r="2708" spans="1:5" x14ac:dyDescent="0.25">
      <c r="A2708" s="5">
        <f>2700</f>
      </c>
      <c r="B2708" s="5" t="s">
        <v>2561</v>
      </c>
      <c r="C2708" s="5" t="s">
        <v>11</v>
      </c>
      <c r="D2708" s="5" t="s">
        <v>12</v>
      </c>
      <c r="E2708" s="5" t="s">
        <v>2300</v>
      </c>
    </row>
    <row r="2709" spans="1:5" x14ac:dyDescent="0.25">
      <c r="A2709" s="5">
        <f>2701</f>
      </c>
      <c r="B2709" s="5" t="s">
        <v>2562</v>
      </c>
      <c r="C2709" s="5" t="s">
        <v>11</v>
      </c>
      <c r="D2709" s="5" t="s">
        <v>12</v>
      </c>
      <c r="E2709" s="5" t="s">
        <v>2300</v>
      </c>
    </row>
    <row r="2710" spans="1:5" x14ac:dyDescent="0.25">
      <c r="A2710" s="5">
        <f>2702</f>
      </c>
      <c r="B2710" s="5" t="s">
        <v>2562</v>
      </c>
      <c r="C2710" s="5" t="s">
        <v>11</v>
      </c>
      <c r="D2710" s="5" t="s">
        <v>12</v>
      </c>
      <c r="E2710" s="5" t="s">
        <v>2300</v>
      </c>
    </row>
    <row r="2711" spans="1:5" x14ac:dyDescent="0.25">
      <c r="A2711" s="5">
        <f>2703</f>
      </c>
      <c r="B2711" s="5" t="s">
        <v>2563</v>
      </c>
      <c r="C2711" s="5" t="s">
        <v>11</v>
      </c>
      <c r="D2711" s="5" t="s">
        <v>12</v>
      </c>
      <c r="E2711" s="5" t="s">
        <v>2300</v>
      </c>
    </row>
    <row r="2712" spans="1:5" x14ac:dyDescent="0.25">
      <c r="A2712" s="5">
        <f>2704</f>
      </c>
      <c r="B2712" s="5" t="s">
        <v>2563</v>
      </c>
      <c r="C2712" s="5" t="s">
        <v>11</v>
      </c>
      <c r="D2712" s="5" t="s">
        <v>12</v>
      </c>
      <c r="E2712" s="5" t="s">
        <v>2300</v>
      </c>
    </row>
    <row r="2713" spans="1:5" x14ac:dyDescent="0.25">
      <c r="A2713" s="5">
        <f>2705</f>
      </c>
      <c r="B2713" s="5" t="s">
        <v>2564</v>
      </c>
      <c r="C2713" s="5" t="s">
        <v>11</v>
      </c>
      <c r="D2713" s="5" t="s">
        <v>12</v>
      </c>
      <c r="E2713" s="5" t="s">
        <v>2300</v>
      </c>
    </row>
    <row r="2714" spans="1:5" x14ac:dyDescent="0.25">
      <c r="A2714" s="5">
        <f>2706</f>
      </c>
      <c r="B2714" s="5" t="s">
        <v>2564</v>
      </c>
      <c r="C2714" s="5" t="s">
        <v>11</v>
      </c>
      <c r="D2714" s="5" t="s">
        <v>12</v>
      </c>
      <c r="E2714" s="5" t="s">
        <v>2300</v>
      </c>
    </row>
    <row r="2715" spans="1:5" x14ac:dyDescent="0.25">
      <c r="A2715" s="5">
        <f>2707</f>
      </c>
      <c r="B2715" s="5" t="s">
        <v>2565</v>
      </c>
      <c r="C2715" s="5" t="s">
        <v>11</v>
      </c>
      <c r="D2715" s="5" t="s">
        <v>12</v>
      </c>
      <c r="E2715" s="5" t="s">
        <v>2300</v>
      </c>
    </row>
    <row r="2716" spans="1:5" x14ac:dyDescent="0.25">
      <c r="A2716" s="5">
        <f>2708</f>
      </c>
      <c r="B2716" s="5" t="s">
        <v>2565</v>
      </c>
      <c r="C2716" s="5" t="s">
        <v>11</v>
      </c>
      <c r="D2716" s="5" t="s">
        <v>12</v>
      </c>
      <c r="E2716" s="5" t="s">
        <v>2300</v>
      </c>
    </row>
    <row r="2717" spans="1:5" x14ac:dyDescent="0.25">
      <c r="A2717" s="5">
        <f>2709</f>
      </c>
      <c r="B2717" s="5" t="s">
        <v>2566</v>
      </c>
      <c r="C2717" s="5" t="s">
        <v>11</v>
      </c>
      <c r="D2717" s="5" t="s">
        <v>12</v>
      </c>
      <c r="E2717" s="5" t="s">
        <v>2300</v>
      </c>
    </row>
    <row r="2718" spans="1:5" x14ac:dyDescent="0.25">
      <c r="A2718" s="5">
        <f>2710</f>
      </c>
      <c r="B2718" s="5" t="s">
        <v>2566</v>
      </c>
      <c r="C2718" s="5" t="s">
        <v>11</v>
      </c>
      <c r="D2718" s="5" t="s">
        <v>12</v>
      </c>
      <c r="E2718" s="5" t="s">
        <v>2300</v>
      </c>
    </row>
    <row r="2719" spans="1:5" x14ac:dyDescent="0.25">
      <c r="A2719" s="5">
        <f>2711</f>
      </c>
      <c r="B2719" s="5" t="s">
        <v>2567</v>
      </c>
      <c r="C2719" s="5" t="s">
        <v>11</v>
      </c>
      <c r="D2719" s="5" t="s">
        <v>12</v>
      </c>
      <c r="E2719" s="5" t="s">
        <v>2300</v>
      </c>
    </row>
    <row r="2720" spans="1:5" x14ac:dyDescent="0.25">
      <c r="A2720" s="5">
        <f>2712</f>
      </c>
      <c r="B2720" s="5" t="s">
        <v>2567</v>
      </c>
      <c r="C2720" s="5" t="s">
        <v>11</v>
      </c>
      <c r="D2720" s="5" t="s">
        <v>12</v>
      </c>
      <c r="E2720" s="5" t="s">
        <v>2300</v>
      </c>
    </row>
    <row r="2721" spans="1:5" x14ac:dyDescent="0.25">
      <c r="A2721" s="5">
        <f>2713</f>
      </c>
      <c r="B2721" s="5" t="s">
        <v>2568</v>
      </c>
      <c r="C2721" s="5" t="s">
        <v>11</v>
      </c>
      <c r="D2721" s="5" t="s">
        <v>12</v>
      </c>
      <c r="E2721" s="5" t="s">
        <v>2300</v>
      </c>
    </row>
    <row r="2722" spans="1:5" x14ac:dyDescent="0.25">
      <c r="A2722" s="5">
        <f>2714</f>
      </c>
      <c r="B2722" s="5" t="s">
        <v>2568</v>
      </c>
      <c r="C2722" s="5" t="s">
        <v>11</v>
      </c>
      <c r="D2722" s="5" t="s">
        <v>12</v>
      </c>
      <c r="E2722" s="5" t="s">
        <v>2300</v>
      </c>
    </row>
    <row r="2723" spans="1:5" x14ac:dyDescent="0.25">
      <c r="A2723" s="5">
        <f>2715</f>
      </c>
      <c r="B2723" s="5" t="s">
        <v>2569</v>
      </c>
      <c r="C2723" s="5" t="s">
        <v>11</v>
      </c>
      <c r="D2723" s="5" t="s">
        <v>12</v>
      </c>
      <c r="E2723" s="5" t="s">
        <v>2300</v>
      </c>
    </row>
    <row r="2724" spans="1:5" x14ac:dyDescent="0.25">
      <c r="A2724" s="5">
        <f>2716</f>
      </c>
      <c r="B2724" s="5" t="s">
        <v>2569</v>
      </c>
      <c r="C2724" s="5" t="s">
        <v>11</v>
      </c>
      <c r="D2724" s="5" t="s">
        <v>12</v>
      </c>
      <c r="E2724" s="5" t="s">
        <v>2300</v>
      </c>
    </row>
    <row r="2725" spans="1:5" x14ac:dyDescent="0.25">
      <c r="A2725" s="5">
        <f>2717</f>
      </c>
      <c r="B2725" s="5" t="s">
        <v>2570</v>
      </c>
      <c r="C2725" s="5" t="s">
        <v>11</v>
      </c>
      <c r="D2725" s="5" t="s">
        <v>12</v>
      </c>
      <c r="E2725" s="5" t="s">
        <v>2300</v>
      </c>
    </row>
    <row r="2726" spans="1:5" x14ac:dyDescent="0.25">
      <c r="A2726" s="5">
        <f>2718</f>
      </c>
      <c r="B2726" s="5" t="s">
        <v>2570</v>
      </c>
      <c r="C2726" s="5" t="s">
        <v>11</v>
      </c>
      <c r="D2726" s="5" t="s">
        <v>12</v>
      </c>
      <c r="E2726" s="5" t="s">
        <v>2300</v>
      </c>
    </row>
    <row r="2727" spans="1:5" x14ac:dyDescent="0.25">
      <c r="A2727" s="5">
        <f>2719</f>
      </c>
      <c r="B2727" s="5" t="s">
        <v>2571</v>
      </c>
      <c r="C2727" s="5" t="s">
        <v>11</v>
      </c>
      <c r="D2727" s="5" t="s">
        <v>12</v>
      </c>
      <c r="E2727" s="5" t="s">
        <v>2300</v>
      </c>
    </row>
    <row r="2728" spans="1:5" x14ac:dyDescent="0.25">
      <c r="A2728" s="5">
        <f>2720</f>
      </c>
      <c r="B2728" s="5" t="s">
        <v>2571</v>
      </c>
      <c r="C2728" s="5" t="s">
        <v>11</v>
      </c>
      <c r="D2728" s="5" t="s">
        <v>12</v>
      </c>
      <c r="E2728" s="5" t="s">
        <v>2300</v>
      </c>
    </row>
    <row r="2729" spans="1:5" x14ac:dyDescent="0.25">
      <c r="A2729" s="5">
        <f>2721</f>
      </c>
      <c r="B2729" s="5" t="s">
        <v>2572</v>
      </c>
      <c r="C2729" s="5" t="s">
        <v>11</v>
      </c>
      <c r="D2729" s="5" t="s">
        <v>12</v>
      </c>
      <c r="E2729" s="5" t="s">
        <v>2300</v>
      </c>
    </row>
    <row r="2730" spans="1:5" x14ac:dyDescent="0.25">
      <c r="A2730" s="5">
        <f>2722</f>
      </c>
      <c r="B2730" s="5" t="s">
        <v>2572</v>
      </c>
      <c r="C2730" s="5" t="s">
        <v>11</v>
      </c>
      <c r="D2730" s="5" t="s">
        <v>12</v>
      </c>
      <c r="E2730" s="5" t="s">
        <v>2300</v>
      </c>
    </row>
    <row r="2731" spans="1:5" x14ac:dyDescent="0.25">
      <c r="A2731" s="5">
        <f>2723</f>
      </c>
      <c r="B2731" s="5" t="s">
        <v>2573</v>
      </c>
      <c r="C2731" s="5" t="s">
        <v>11</v>
      </c>
      <c r="D2731" s="5" t="s">
        <v>12</v>
      </c>
      <c r="E2731" s="5" t="s">
        <v>966</v>
      </c>
    </row>
    <row r="2732" spans="1:5" x14ac:dyDescent="0.25">
      <c r="A2732" s="5">
        <f>2724</f>
      </c>
      <c r="B2732" s="5" t="s">
        <v>2573</v>
      </c>
      <c r="C2732" s="5" t="s">
        <v>11</v>
      </c>
      <c r="D2732" s="5" t="s">
        <v>12</v>
      </c>
      <c r="E2732" s="5" t="s">
        <v>966</v>
      </c>
    </row>
    <row r="2733" spans="1:5" x14ac:dyDescent="0.25">
      <c r="A2733" s="5">
        <f>2725</f>
      </c>
      <c r="B2733" s="5" t="s">
        <v>2574</v>
      </c>
      <c r="C2733" s="5" t="s">
        <v>11</v>
      </c>
      <c r="D2733" s="5" t="s">
        <v>12</v>
      </c>
      <c r="E2733" s="5" t="s">
        <v>2575</v>
      </c>
    </row>
    <row r="2734" spans="1:5" x14ac:dyDescent="0.25">
      <c r="A2734" s="5">
        <f>2726</f>
      </c>
      <c r="B2734" s="5" t="s">
        <v>2574</v>
      </c>
      <c r="C2734" s="5" t="s">
        <v>11</v>
      </c>
      <c r="D2734" s="5" t="s">
        <v>12</v>
      </c>
      <c r="E2734" s="5" t="s">
        <v>2575</v>
      </c>
    </row>
    <row r="2735" spans="1:5" x14ac:dyDescent="0.25">
      <c r="A2735" s="5">
        <f>2727</f>
      </c>
      <c r="B2735" s="5" t="s">
        <v>2576</v>
      </c>
      <c r="C2735" s="5" t="s">
        <v>11</v>
      </c>
      <c r="D2735" s="5" t="s">
        <v>12</v>
      </c>
      <c r="E2735" s="5" t="s">
        <v>2577</v>
      </c>
    </row>
    <row r="2736" spans="1:5" x14ac:dyDescent="0.25">
      <c r="A2736" s="5">
        <f>2728</f>
      </c>
      <c r="B2736" s="5" t="s">
        <v>2576</v>
      </c>
      <c r="C2736" s="5" t="s">
        <v>11</v>
      </c>
      <c r="D2736" s="5" t="s">
        <v>12</v>
      </c>
      <c r="E2736" s="5" t="s">
        <v>2577</v>
      </c>
    </row>
    <row r="2737" spans="1:5" x14ac:dyDescent="0.25">
      <c r="A2737" s="5">
        <f>2729</f>
      </c>
      <c r="B2737" s="5" t="s">
        <v>2578</v>
      </c>
      <c r="C2737" s="5" t="s">
        <v>11</v>
      </c>
      <c r="D2737" s="5" t="s">
        <v>12</v>
      </c>
      <c r="E2737" s="5" t="s">
        <v>2579</v>
      </c>
    </row>
    <row r="2738" spans="1:5" x14ac:dyDescent="0.25">
      <c r="A2738" s="5">
        <f>2730</f>
      </c>
      <c r="B2738" s="5" t="s">
        <v>2578</v>
      </c>
      <c r="C2738" s="5" t="s">
        <v>11</v>
      </c>
      <c r="D2738" s="5" t="s">
        <v>12</v>
      </c>
      <c r="E2738" s="5" t="s">
        <v>2579</v>
      </c>
    </row>
    <row r="2739" spans="1:5" x14ac:dyDescent="0.25">
      <c r="A2739" s="5">
        <f>2731</f>
      </c>
      <c r="B2739" s="5" t="s">
        <v>2580</v>
      </c>
      <c r="C2739" s="5" t="s">
        <v>11</v>
      </c>
      <c r="D2739" s="5" t="s">
        <v>12</v>
      </c>
      <c r="E2739" s="5" t="s">
        <v>2285</v>
      </c>
    </row>
    <row r="2740" spans="1:5" x14ac:dyDescent="0.25">
      <c r="A2740" s="5">
        <f>2732</f>
      </c>
      <c r="B2740" s="5" t="s">
        <v>2580</v>
      </c>
      <c r="C2740" s="5" t="s">
        <v>11</v>
      </c>
      <c r="D2740" s="5" t="s">
        <v>12</v>
      </c>
      <c r="E2740" s="5" t="s">
        <v>2285</v>
      </c>
    </row>
    <row r="2741" spans="1:5" x14ac:dyDescent="0.25">
      <c r="A2741" s="5">
        <f>2733</f>
      </c>
      <c r="B2741" s="5" t="s">
        <v>2581</v>
      </c>
      <c r="C2741" s="5" t="s">
        <v>11</v>
      </c>
      <c r="D2741" s="5" t="s">
        <v>12</v>
      </c>
      <c r="E2741" s="5" t="s">
        <v>2582</v>
      </c>
    </row>
    <row r="2742" spans="1:5" x14ac:dyDescent="0.25">
      <c r="A2742" s="5">
        <f>2734</f>
      </c>
      <c r="B2742" s="5" t="s">
        <v>2581</v>
      </c>
      <c r="C2742" s="5" t="s">
        <v>11</v>
      </c>
      <c r="D2742" s="5" t="s">
        <v>12</v>
      </c>
      <c r="E2742" s="5" t="s">
        <v>2582</v>
      </c>
    </row>
    <row r="2743" spans="1:5" x14ac:dyDescent="0.25">
      <c r="A2743" s="5">
        <f>2735</f>
      </c>
      <c r="B2743" s="5" t="s">
        <v>2583</v>
      </c>
      <c r="C2743" s="5" t="s">
        <v>11</v>
      </c>
      <c r="D2743" s="5" t="s">
        <v>12</v>
      </c>
      <c r="E2743" s="5" t="s">
        <v>2584</v>
      </c>
    </row>
    <row r="2744" spans="1:5" x14ac:dyDescent="0.25">
      <c r="A2744" s="5">
        <f>2736</f>
      </c>
      <c r="B2744" s="5" t="s">
        <v>2583</v>
      </c>
      <c r="C2744" s="5" t="s">
        <v>11</v>
      </c>
      <c r="D2744" s="5" t="s">
        <v>12</v>
      </c>
      <c r="E2744" s="5" t="s">
        <v>2584</v>
      </c>
    </row>
    <row r="2745" spans="1:5" x14ac:dyDescent="0.25">
      <c r="A2745" s="5">
        <f>2737</f>
      </c>
      <c r="B2745" s="5" t="s">
        <v>2585</v>
      </c>
      <c r="C2745" s="5" t="s">
        <v>11</v>
      </c>
      <c r="D2745" s="5" t="s">
        <v>12</v>
      </c>
      <c r="E2745" s="5" t="s">
        <v>2586</v>
      </c>
    </row>
    <row r="2746" spans="1:5" x14ac:dyDescent="0.25">
      <c r="A2746" s="5">
        <f>2738</f>
      </c>
      <c r="B2746" s="5" t="s">
        <v>2585</v>
      </c>
      <c r="C2746" s="5" t="s">
        <v>11</v>
      </c>
      <c r="D2746" s="5" t="s">
        <v>12</v>
      </c>
      <c r="E2746" s="5" t="s">
        <v>2586</v>
      </c>
    </row>
    <row r="2747" spans="1:5" x14ac:dyDescent="0.25">
      <c r="A2747" s="5">
        <f>2739</f>
      </c>
      <c r="B2747" s="5" t="s">
        <v>2587</v>
      </c>
      <c r="C2747" s="5" t="s">
        <v>11</v>
      </c>
      <c r="D2747" s="5" t="s">
        <v>12</v>
      </c>
      <c r="E2747" s="5" t="s">
        <v>2588</v>
      </c>
    </row>
    <row r="2748" spans="1:5" x14ac:dyDescent="0.25">
      <c r="A2748" s="5">
        <f>2740</f>
      </c>
      <c r="B2748" s="5" t="s">
        <v>2587</v>
      </c>
      <c r="C2748" s="5" t="s">
        <v>11</v>
      </c>
      <c r="D2748" s="5" t="s">
        <v>12</v>
      </c>
      <c r="E2748" s="5" t="s">
        <v>2588</v>
      </c>
    </row>
    <row r="2749" spans="1:5" x14ac:dyDescent="0.25">
      <c r="A2749" s="5">
        <f>2741</f>
      </c>
      <c r="B2749" s="5" t="s">
        <v>2589</v>
      </c>
      <c r="C2749" s="5" t="s">
        <v>11</v>
      </c>
      <c r="D2749" s="5" t="s">
        <v>12</v>
      </c>
      <c r="E2749" s="5" t="s">
        <v>2590</v>
      </c>
    </row>
    <row r="2750" spans="1:5" x14ac:dyDescent="0.25">
      <c r="A2750" s="5">
        <f>2742</f>
      </c>
      <c r="B2750" s="5" t="s">
        <v>2589</v>
      </c>
      <c r="C2750" s="5" t="s">
        <v>11</v>
      </c>
      <c r="D2750" s="5" t="s">
        <v>12</v>
      </c>
      <c r="E2750" s="5" t="s">
        <v>2590</v>
      </c>
    </row>
    <row r="2751" spans="1:5" x14ac:dyDescent="0.25">
      <c r="A2751" s="5">
        <f>2743</f>
      </c>
      <c r="B2751" s="5" t="s">
        <v>2591</v>
      </c>
      <c r="C2751" s="5" t="s">
        <v>11</v>
      </c>
      <c r="D2751" s="5" t="s">
        <v>12</v>
      </c>
      <c r="E2751" s="5" t="s">
        <v>2592</v>
      </c>
    </row>
    <row r="2752" spans="1:5" x14ac:dyDescent="0.25">
      <c r="A2752" s="5">
        <f>2744</f>
      </c>
      <c r="B2752" s="5" t="s">
        <v>2591</v>
      </c>
      <c r="C2752" s="5" t="s">
        <v>11</v>
      </c>
      <c r="D2752" s="5" t="s">
        <v>12</v>
      </c>
      <c r="E2752" s="5" t="s">
        <v>2592</v>
      </c>
    </row>
    <row r="2753" spans="1:5" x14ac:dyDescent="0.25">
      <c r="A2753" s="5">
        <f>2745</f>
      </c>
      <c r="B2753" s="5" t="s">
        <v>2593</v>
      </c>
      <c r="C2753" s="5" t="s">
        <v>11</v>
      </c>
      <c r="D2753" s="5" t="s">
        <v>12</v>
      </c>
      <c r="E2753" s="5" t="s">
        <v>2594</v>
      </c>
    </row>
    <row r="2754" spans="1:5" x14ac:dyDescent="0.25">
      <c r="A2754" s="5">
        <f>2746</f>
      </c>
      <c r="B2754" s="5" t="s">
        <v>2593</v>
      </c>
      <c r="C2754" s="5" t="s">
        <v>11</v>
      </c>
      <c r="D2754" s="5" t="s">
        <v>12</v>
      </c>
      <c r="E2754" s="5" t="s">
        <v>2594</v>
      </c>
    </row>
    <row r="2755" spans="1:5" x14ac:dyDescent="0.25">
      <c r="A2755" s="5">
        <f>2747</f>
      </c>
      <c r="B2755" s="5" t="s">
        <v>2595</v>
      </c>
      <c r="C2755" s="5" t="s">
        <v>11</v>
      </c>
      <c r="D2755" s="5" t="s">
        <v>12</v>
      </c>
      <c r="E2755" s="5" t="s">
        <v>2596</v>
      </c>
    </row>
    <row r="2756" spans="1:5" x14ac:dyDescent="0.25">
      <c r="A2756" s="5">
        <f>2748</f>
      </c>
      <c r="B2756" s="5" t="s">
        <v>2595</v>
      </c>
      <c r="C2756" s="5" t="s">
        <v>11</v>
      </c>
      <c r="D2756" s="5" t="s">
        <v>12</v>
      </c>
      <c r="E2756" s="5" t="s">
        <v>2596</v>
      </c>
    </row>
    <row r="2757" spans="1:5" x14ac:dyDescent="0.25">
      <c r="A2757" s="5">
        <f>2749</f>
      </c>
      <c r="B2757" s="5" t="s">
        <v>2597</v>
      </c>
      <c r="C2757" s="5" t="s">
        <v>11</v>
      </c>
      <c r="D2757" s="5" t="s">
        <v>12</v>
      </c>
      <c r="E2757" s="5" t="s">
        <v>2598</v>
      </c>
    </row>
    <row r="2758" spans="1:5" x14ac:dyDescent="0.25">
      <c r="A2758" s="5">
        <f>2750</f>
      </c>
      <c r="B2758" s="5" t="s">
        <v>2597</v>
      </c>
      <c r="C2758" s="5" t="s">
        <v>11</v>
      </c>
      <c r="D2758" s="5" t="s">
        <v>12</v>
      </c>
      <c r="E2758" s="5" t="s">
        <v>2598</v>
      </c>
    </row>
    <row r="2759" spans="1:5" x14ac:dyDescent="0.25">
      <c r="A2759" s="5">
        <f>2751</f>
      </c>
      <c r="B2759" s="5" t="s">
        <v>2599</v>
      </c>
      <c r="C2759" s="5" t="s">
        <v>11</v>
      </c>
      <c r="D2759" s="5" t="s">
        <v>12</v>
      </c>
      <c r="E2759" s="5" t="s">
        <v>2600</v>
      </c>
    </row>
    <row r="2760" spans="1:5" x14ac:dyDescent="0.25">
      <c r="A2760" s="5">
        <f>2752</f>
      </c>
      <c r="B2760" s="5" t="s">
        <v>2599</v>
      </c>
      <c r="C2760" s="5" t="s">
        <v>11</v>
      </c>
      <c r="D2760" s="5" t="s">
        <v>12</v>
      </c>
      <c r="E2760" s="5" t="s">
        <v>2600</v>
      </c>
    </row>
    <row r="2761" spans="1:5" x14ac:dyDescent="0.25">
      <c r="A2761" s="5">
        <f>2753</f>
      </c>
      <c r="B2761" s="5" t="s">
        <v>2601</v>
      </c>
      <c r="C2761" s="5" t="s">
        <v>11</v>
      </c>
      <c r="D2761" s="5" t="s">
        <v>12</v>
      </c>
      <c r="E2761" s="5" t="s">
        <v>1020</v>
      </c>
    </row>
    <row r="2762" spans="1:5" x14ac:dyDescent="0.25">
      <c r="A2762" s="5">
        <f>2754</f>
      </c>
      <c r="B2762" s="5" t="s">
        <v>2601</v>
      </c>
      <c r="C2762" s="5" t="s">
        <v>11</v>
      </c>
      <c r="D2762" s="5" t="s">
        <v>12</v>
      </c>
      <c r="E2762" s="5" t="s">
        <v>1020</v>
      </c>
    </row>
    <row r="2763" spans="1:5" x14ac:dyDescent="0.25">
      <c r="A2763" s="5">
        <f>2755</f>
      </c>
      <c r="B2763" s="5" t="s">
        <v>2602</v>
      </c>
      <c r="C2763" s="5" t="s">
        <v>11</v>
      </c>
      <c r="D2763" s="5" t="s">
        <v>12</v>
      </c>
      <c r="E2763" s="5" t="s">
        <v>1020</v>
      </c>
    </row>
    <row r="2764" spans="1:5" x14ac:dyDescent="0.25">
      <c r="A2764" s="5">
        <f>2756</f>
      </c>
      <c r="B2764" s="5" t="s">
        <v>2602</v>
      </c>
      <c r="C2764" s="5" t="s">
        <v>11</v>
      </c>
      <c r="D2764" s="5" t="s">
        <v>12</v>
      </c>
      <c r="E2764" s="5" t="s">
        <v>1020</v>
      </c>
    </row>
    <row r="2765" spans="1:5" x14ac:dyDescent="0.25">
      <c r="A2765" s="5">
        <f>2757</f>
      </c>
      <c r="B2765" s="5" t="s">
        <v>2603</v>
      </c>
      <c r="C2765" s="5" t="s">
        <v>11</v>
      </c>
      <c r="D2765" s="5" t="s">
        <v>12</v>
      </c>
      <c r="E2765" s="5" t="s">
        <v>1020</v>
      </c>
    </row>
    <row r="2766" spans="1:5" x14ac:dyDescent="0.25">
      <c r="A2766" s="5">
        <f>2758</f>
      </c>
      <c r="B2766" s="5" t="s">
        <v>2603</v>
      </c>
      <c r="C2766" s="5" t="s">
        <v>11</v>
      </c>
      <c r="D2766" s="5" t="s">
        <v>12</v>
      </c>
      <c r="E2766" s="5" t="s">
        <v>1020</v>
      </c>
    </row>
    <row r="2767" spans="1:5" x14ac:dyDescent="0.25">
      <c r="A2767" s="5">
        <f>2759</f>
      </c>
      <c r="B2767" s="5" t="s">
        <v>2604</v>
      </c>
      <c r="C2767" s="5" t="s">
        <v>11</v>
      </c>
      <c r="D2767" s="5" t="s">
        <v>12</v>
      </c>
      <c r="E2767" s="5" t="s">
        <v>1020</v>
      </c>
    </row>
    <row r="2768" spans="1:5" x14ac:dyDescent="0.25">
      <c r="A2768" s="5">
        <f>2760</f>
      </c>
      <c r="B2768" s="5" t="s">
        <v>2604</v>
      </c>
      <c r="C2768" s="5" t="s">
        <v>11</v>
      </c>
      <c r="D2768" s="5" t="s">
        <v>12</v>
      </c>
      <c r="E2768" s="5" t="s">
        <v>1020</v>
      </c>
    </row>
    <row r="2769" spans="1:5" x14ac:dyDescent="0.25">
      <c r="A2769" s="5">
        <f>2761</f>
      </c>
      <c r="B2769" s="5" t="s">
        <v>2605</v>
      </c>
      <c r="C2769" s="5" t="s">
        <v>11</v>
      </c>
      <c r="D2769" s="5" t="s">
        <v>12</v>
      </c>
      <c r="E2769" s="5" t="s">
        <v>1020</v>
      </c>
    </row>
    <row r="2770" spans="1:5" x14ac:dyDescent="0.25">
      <c r="A2770" s="5">
        <f>2762</f>
      </c>
      <c r="B2770" s="5" t="s">
        <v>2605</v>
      </c>
      <c r="C2770" s="5" t="s">
        <v>11</v>
      </c>
      <c r="D2770" s="5" t="s">
        <v>12</v>
      </c>
      <c r="E2770" s="5" t="s">
        <v>1020</v>
      </c>
    </row>
    <row r="2771" spans="1:5" x14ac:dyDescent="0.25">
      <c r="A2771" s="5">
        <f>2763</f>
      </c>
      <c r="B2771" s="5" t="s">
        <v>2606</v>
      </c>
      <c r="C2771" s="5" t="s">
        <v>11</v>
      </c>
      <c r="D2771" s="5" t="s">
        <v>12</v>
      </c>
      <c r="E2771" s="5" t="s">
        <v>1020</v>
      </c>
    </row>
    <row r="2772" spans="1:5" x14ac:dyDescent="0.25">
      <c r="A2772" s="5">
        <f>2764</f>
      </c>
      <c r="B2772" s="5" t="s">
        <v>2606</v>
      </c>
      <c r="C2772" s="5" t="s">
        <v>11</v>
      </c>
      <c r="D2772" s="5" t="s">
        <v>12</v>
      </c>
      <c r="E2772" s="5" t="s">
        <v>1020</v>
      </c>
    </row>
    <row r="2773" spans="1:5" x14ac:dyDescent="0.25">
      <c r="A2773" s="5">
        <f>2765</f>
      </c>
      <c r="B2773" s="5" t="s">
        <v>2607</v>
      </c>
      <c r="C2773" s="5" t="s">
        <v>11</v>
      </c>
      <c r="D2773" s="5" t="s">
        <v>12</v>
      </c>
      <c r="E2773" s="5" t="s">
        <v>1020</v>
      </c>
    </row>
    <row r="2774" spans="1:5" x14ac:dyDescent="0.25">
      <c r="A2774" s="5">
        <f>2766</f>
      </c>
      <c r="B2774" s="5" t="s">
        <v>2607</v>
      </c>
      <c r="C2774" s="5" t="s">
        <v>11</v>
      </c>
      <c r="D2774" s="5" t="s">
        <v>12</v>
      </c>
      <c r="E2774" s="5" t="s">
        <v>1020</v>
      </c>
    </row>
    <row r="2775" spans="1:5" x14ac:dyDescent="0.25">
      <c r="A2775" s="5">
        <f>2767</f>
      </c>
      <c r="B2775" s="5" t="s">
        <v>2608</v>
      </c>
      <c r="C2775" s="5" t="s">
        <v>11</v>
      </c>
      <c r="D2775" s="5" t="s">
        <v>12</v>
      </c>
      <c r="E2775" s="5" t="s">
        <v>1020</v>
      </c>
    </row>
    <row r="2776" spans="1:5" x14ac:dyDescent="0.25">
      <c r="A2776" s="5">
        <f>2768</f>
      </c>
      <c r="B2776" s="5" t="s">
        <v>2608</v>
      </c>
      <c r="C2776" s="5" t="s">
        <v>11</v>
      </c>
      <c r="D2776" s="5" t="s">
        <v>12</v>
      </c>
      <c r="E2776" s="5" t="s">
        <v>1020</v>
      </c>
    </row>
    <row r="2777" spans="1:5" x14ac:dyDescent="0.25">
      <c r="A2777" s="5">
        <f>2769</f>
      </c>
      <c r="B2777" s="5" t="s">
        <v>2609</v>
      </c>
      <c r="C2777" s="5" t="s">
        <v>11</v>
      </c>
      <c r="D2777" s="5" t="s">
        <v>12</v>
      </c>
      <c r="E2777" s="5" t="s">
        <v>2610</v>
      </c>
    </row>
    <row r="2778" spans="1:5" x14ac:dyDescent="0.25">
      <c r="A2778" s="5">
        <f>2770</f>
      </c>
      <c r="B2778" s="5" t="s">
        <v>2609</v>
      </c>
      <c r="C2778" s="5" t="s">
        <v>11</v>
      </c>
      <c r="D2778" s="5" t="s">
        <v>12</v>
      </c>
      <c r="E2778" s="5" t="s">
        <v>2610</v>
      </c>
    </row>
    <row r="2779" spans="1:5" x14ac:dyDescent="0.25">
      <c r="A2779" s="5">
        <f>2771</f>
      </c>
      <c r="B2779" s="5" t="s">
        <v>2611</v>
      </c>
      <c r="C2779" s="5" t="s">
        <v>11</v>
      </c>
      <c r="D2779" s="5" t="s">
        <v>12</v>
      </c>
      <c r="E2779" s="5" t="s">
        <v>2610</v>
      </c>
    </row>
    <row r="2780" spans="1:5" x14ac:dyDescent="0.25">
      <c r="A2780" s="5">
        <f>2772</f>
      </c>
      <c r="B2780" s="5" t="s">
        <v>2611</v>
      </c>
      <c r="C2780" s="5" t="s">
        <v>11</v>
      </c>
      <c r="D2780" s="5" t="s">
        <v>12</v>
      </c>
      <c r="E2780" s="5" t="s">
        <v>2610</v>
      </c>
    </row>
    <row r="2781" spans="1:5" x14ac:dyDescent="0.25">
      <c r="A2781" s="5">
        <f>2773</f>
      </c>
      <c r="B2781" s="5" t="s">
        <v>2612</v>
      </c>
      <c r="C2781" s="5" t="s">
        <v>11</v>
      </c>
      <c r="D2781" s="5" t="s">
        <v>12</v>
      </c>
      <c r="E2781" s="5" t="s">
        <v>730</v>
      </c>
    </row>
    <row r="2782" spans="1:5" x14ac:dyDescent="0.25">
      <c r="A2782" s="5">
        <f>2774</f>
      </c>
      <c r="B2782" s="5" t="s">
        <v>2612</v>
      </c>
      <c r="C2782" s="5" t="s">
        <v>11</v>
      </c>
      <c r="D2782" s="5" t="s">
        <v>12</v>
      </c>
      <c r="E2782" s="5" t="s">
        <v>730</v>
      </c>
    </row>
    <row r="2783" spans="1:5" x14ac:dyDescent="0.25">
      <c r="A2783" s="5">
        <f>2775</f>
      </c>
      <c r="B2783" s="5" t="s">
        <v>2613</v>
      </c>
      <c r="C2783" s="5" t="s">
        <v>11</v>
      </c>
      <c r="D2783" s="5" t="s">
        <v>12</v>
      </c>
      <c r="E2783" s="5" t="s">
        <v>2614</v>
      </c>
    </row>
    <row r="2784" spans="1:5" x14ac:dyDescent="0.25">
      <c r="A2784" s="5">
        <f>2776</f>
      </c>
      <c r="B2784" s="5" t="s">
        <v>2613</v>
      </c>
      <c r="C2784" s="5" t="s">
        <v>11</v>
      </c>
      <c r="D2784" s="5" t="s">
        <v>12</v>
      </c>
      <c r="E2784" s="5" t="s">
        <v>2614</v>
      </c>
    </row>
    <row r="2785" spans="1:5" x14ac:dyDescent="0.25">
      <c r="A2785" s="5">
        <f>2777</f>
      </c>
      <c r="B2785" s="5" t="s">
        <v>2615</v>
      </c>
      <c r="C2785" s="5" t="s">
        <v>11</v>
      </c>
      <c r="D2785" s="5" t="s">
        <v>12</v>
      </c>
      <c r="E2785" s="5" t="s">
        <v>2616</v>
      </c>
    </row>
    <row r="2786" spans="1:5" x14ac:dyDescent="0.25">
      <c r="A2786" s="5">
        <f>2778</f>
      </c>
      <c r="B2786" s="5" t="s">
        <v>2615</v>
      </c>
      <c r="C2786" s="5" t="s">
        <v>11</v>
      </c>
      <c r="D2786" s="5" t="s">
        <v>12</v>
      </c>
      <c r="E2786" s="5" t="s">
        <v>2616</v>
      </c>
    </row>
    <row r="2787" spans="1:5" x14ac:dyDescent="0.25">
      <c r="A2787" s="5">
        <f>2779</f>
      </c>
      <c r="B2787" s="5" t="s">
        <v>2617</v>
      </c>
      <c r="C2787" s="5" t="s">
        <v>11</v>
      </c>
      <c r="D2787" s="5" t="s">
        <v>12</v>
      </c>
      <c r="E2787" s="5" t="s">
        <v>2600</v>
      </c>
    </row>
    <row r="2788" spans="1:5" x14ac:dyDescent="0.25">
      <c r="A2788" s="5">
        <f>2780</f>
      </c>
      <c r="B2788" s="5" t="s">
        <v>2617</v>
      </c>
      <c r="C2788" s="5" t="s">
        <v>11</v>
      </c>
      <c r="D2788" s="5" t="s">
        <v>12</v>
      </c>
      <c r="E2788" s="5" t="s">
        <v>2600</v>
      </c>
    </row>
    <row r="2789" spans="1:5" x14ac:dyDescent="0.25">
      <c r="A2789" s="5">
        <f>2781</f>
      </c>
      <c r="B2789" s="5" t="s">
        <v>2618</v>
      </c>
      <c r="C2789" s="5" t="s">
        <v>11</v>
      </c>
      <c r="D2789" s="5" t="s">
        <v>12</v>
      </c>
      <c r="E2789" s="5" t="s">
        <v>2619</v>
      </c>
    </row>
    <row r="2790" spans="1:5" x14ac:dyDescent="0.25">
      <c r="A2790" s="5">
        <f>2782</f>
      </c>
      <c r="B2790" s="5" t="s">
        <v>2618</v>
      </c>
      <c r="C2790" s="5" t="s">
        <v>11</v>
      </c>
      <c r="D2790" s="5" t="s">
        <v>12</v>
      </c>
      <c r="E2790" s="5" t="s">
        <v>2619</v>
      </c>
    </row>
    <row r="2791" spans="1:5" x14ac:dyDescent="0.25">
      <c r="A2791" s="5">
        <f>2783</f>
      </c>
      <c r="B2791" s="5" t="s">
        <v>2620</v>
      </c>
      <c r="C2791" s="5" t="s">
        <v>11</v>
      </c>
      <c r="D2791" s="5" t="s">
        <v>12</v>
      </c>
      <c r="E2791" s="5" t="s">
        <v>938</v>
      </c>
    </row>
    <row r="2792" spans="1:5" x14ac:dyDescent="0.25">
      <c r="A2792" s="5">
        <f>2784</f>
      </c>
      <c r="B2792" s="5" t="s">
        <v>2620</v>
      </c>
      <c r="C2792" s="5" t="s">
        <v>11</v>
      </c>
      <c r="D2792" s="5" t="s">
        <v>12</v>
      </c>
      <c r="E2792" s="5" t="s">
        <v>938</v>
      </c>
    </row>
    <row r="2793" spans="1:5" x14ac:dyDescent="0.25">
      <c r="A2793" s="5">
        <f>2785</f>
      </c>
      <c r="B2793" s="5" t="s">
        <v>2621</v>
      </c>
      <c r="C2793" s="5" t="s">
        <v>11</v>
      </c>
      <c r="D2793" s="5" t="s">
        <v>12</v>
      </c>
      <c r="E2793" s="5" t="s">
        <v>2622</v>
      </c>
    </row>
    <row r="2794" spans="1:5" x14ac:dyDescent="0.25">
      <c r="A2794" s="5">
        <f>2786</f>
      </c>
      <c r="B2794" s="5" t="s">
        <v>2621</v>
      </c>
      <c r="C2794" s="5" t="s">
        <v>11</v>
      </c>
      <c r="D2794" s="5" t="s">
        <v>12</v>
      </c>
      <c r="E2794" s="5" t="s">
        <v>2622</v>
      </c>
    </row>
    <row r="2795" spans="1:5" x14ac:dyDescent="0.25">
      <c r="A2795" s="5">
        <f>2787</f>
      </c>
      <c r="B2795" s="5" t="s">
        <v>2623</v>
      </c>
      <c r="C2795" s="5" t="s">
        <v>11</v>
      </c>
      <c r="D2795" s="5" t="s">
        <v>12</v>
      </c>
      <c r="E2795" s="5" t="s">
        <v>2624</v>
      </c>
    </row>
    <row r="2796" spans="1:5" x14ac:dyDescent="0.25">
      <c r="A2796" s="5">
        <f>2788</f>
      </c>
      <c r="B2796" s="5" t="s">
        <v>2623</v>
      </c>
      <c r="C2796" s="5" t="s">
        <v>11</v>
      </c>
      <c r="D2796" s="5" t="s">
        <v>12</v>
      </c>
      <c r="E2796" s="5" t="s">
        <v>2624</v>
      </c>
    </row>
    <row r="2797" spans="1:5" x14ac:dyDescent="0.25">
      <c r="A2797" s="5">
        <f>2789</f>
      </c>
      <c r="B2797" s="5" t="s">
        <v>2625</v>
      </c>
      <c r="C2797" s="5" t="s">
        <v>11</v>
      </c>
      <c r="D2797" s="5" t="s">
        <v>12</v>
      </c>
      <c r="E2797" s="5" t="s">
        <v>2626</v>
      </c>
    </row>
    <row r="2798" spans="1:5" x14ac:dyDescent="0.25">
      <c r="A2798" s="5">
        <f>2790</f>
      </c>
      <c r="B2798" s="5" t="s">
        <v>2625</v>
      </c>
      <c r="C2798" s="5" t="s">
        <v>11</v>
      </c>
      <c r="D2798" s="5" t="s">
        <v>12</v>
      </c>
      <c r="E2798" s="5" t="s">
        <v>2626</v>
      </c>
    </row>
    <row r="2799" spans="1:5" x14ac:dyDescent="0.25">
      <c r="A2799" s="5">
        <f>2791</f>
      </c>
      <c r="B2799" s="5" t="s">
        <v>2627</v>
      </c>
      <c r="C2799" s="5" t="s">
        <v>11</v>
      </c>
      <c r="D2799" s="5" t="s">
        <v>12</v>
      </c>
      <c r="E2799" s="5" t="s">
        <v>2407</v>
      </c>
    </row>
    <row r="2800" spans="1:5" x14ac:dyDescent="0.25">
      <c r="A2800" s="5">
        <f>2792</f>
      </c>
      <c r="B2800" s="5" t="s">
        <v>2627</v>
      </c>
      <c r="C2800" s="5" t="s">
        <v>11</v>
      </c>
      <c r="D2800" s="5" t="s">
        <v>12</v>
      </c>
      <c r="E2800" s="5" t="s">
        <v>2407</v>
      </c>
    </row>
    <row r="2801" spans="1:5" x14ac:dyDescent="0.25">
      <c r="A2801" s="5">
        <f>2793</f>
      </c>
      <c r="B2801" s="5" t="s">
        <v>2628</v>
      </c>
      <c r="C2801" s="5" t="s">
        <v>11</v>
      </c>
      <c r="D2801" s="5" t="s">
        <v>12</v>
      </c>
      <c r="E2801" s="5" t="s">
        <v>840</v>
      </c>
    </row>
    <row r="2802" spans="1:5" x14ac:dyDescent="0.25">
      <c r="A2802" s="5">
        <f>2794</f>
      </c>
      <c r="B2802" s="5" t="s">
        <v>2628</v>
      </c>
      <c r="C2802" s="5" t="s">
        <v>11</v>
      </c>
      <c r="D2802" s="5" t="s">
        <v>12</v>
      </c>
      <c r="E2802" s="5" t="s">
        <v>840</v>
      </c>
    </row>
    <row r="2803" spans="1:5" x14ac:dyDescent="0.25">
      <c r="A2803" s="5">
        <f>2795</f>
      </c>
      <c r="B2803" s="5" t="s">
        <v>2629</v>
      </c>
      <c r="C2803" s="5" t="s">
        <v>11</v>
      </c>
      <c r="D2803" s="5" t="s">
        <v>12</v>
      </c>
      <c r="E2803" s="5" t="s">
        <v>840</v>
      </c>
    </row>
    <row r="2804" spans="1:5" x14ac:dyDescent="0.25">
      <c r="A2804" s="5">
        <f>2796</f>
      </c>
      <c r="B2804" s="5" t="s">
        <v>2629</v>
      </c>
      <c r="C2804" s="5" t="s">
        <v>11</v>
      </c>
      <c r="D2804" s="5" t="s">
        <v>12</v>
      </c>
      <c r="E2804" s="5" t="s">
        <v>840</v>
      </c>
    </row>
    <row r="2805" spans="1:5" x14ac:dyDescent="0.25">
      <c r="A2805" s="5">
        <f>2797</f>
      </c>
      <c r="B2805" s="5" t="s">
        <v>2630</v>
      </c>
      <c r="C2805" s="5" t="s">
        <v>11</v>
      </c>
      <c r="D2805" s="5" t="s">
        <v>12</v>
      </c>
      <c r="E2805" s="5" t="s">
        <v>840</v>
      </c>
    </row>
    <row r="2806" spans="1:5" x14ac:dyDescent="0.25">
      <c r="A2806" s="5">
        <f>2798</f>
      </c>
      <c r="B2806" s="5" t="s">
        <v>2630</v>
      </c>
      <c r="C2806" s="5" t="s">
        <v>11</v>
      </c>
      <c r="D2806" s="5" t="s">
        <v>12</v>
      </c>
      <c r="E2806" s="5" t="s">
        <v>840</v>
      </c>
    </row>
    <row r="2807" spans="1:5" x14ac:dyDescent="0.25">
      <c r="A2807" s="5">
        <f>2799</f>
      </c>
      <c r="B2807" s="5" t="s">
        <v>2631</v>
      </c>
      <c r="C2807" s="5" t="s">
        <v>11</v>
      </c>
      <c r="D2807" s="5" t="s">
        <v>12</v>
      </c>
      <c r="E2807" s="5" t="s">
        <v>2632</v>
      </c>
    </row>
    <row r="2808" spans="1:5" x14ac:dyDescent="0.25">
      <c r="A2808" s="5">
        <f>2800</f>
      </c>
      <c r="B2808" s="5" t="s">
        <v>2631</v>
      </c>
      <c r="C2808" s="5" t="s">
        <v>11</v>
      </c>
      <c r="D2808" s="5" t="s">
        <v>12</v>
      </c>
      <c r="E2808" s="5" t="s">
        <v>2632</v>
      </c>
    </row>
    <row r="2809" spans="1:5" x14ac:dyDescent="0.25">
      <c r="A2809" s="5">
        <f>2801</f>
      </c>
      <c r="B2809" s="5" t="s">
        <v>2633</v>
      </c>
      <c r="C2809" s="5" t="s">
        <v>11</v>
      </c>
      <c r="D2809" s="5" t="s">
        <v>12</v>
      </c>
      <c r="E2809" s="5" t="s">
        <v>2634</v>
      </c>
    </row>
    <row r="2810" spans="1:5" x14ac:dyDescent="0.25">
      <c r="A2810" s="5">
        <f>2802</f>
      </c>
      <c r="B2810" s="5" t="s">
        <v>2633</v>
      </c>
      <c r="C2810" s="5" t="s">
        <v>11</v>
      </c>
      <c r="D2810" s="5" t="s">
        <v>12</v>
      </c>
      <c r="E2810" s="5" t="s">
        <v>2634</v>
      </c>
    </row>
    <row r="2811" spans="1:5" x14ac:dyDescent="0.25">
      <c r="A2811" s="5">
        <f>2803</f>
      </c>
      <c r="B2811" s="5" t="s">
        <v>2635</v>
      </c>
      <c r="C2811" s="5" t="s">
        <v>11</v>
      </c>
      <c r="D2811" s="5" t="s">
        <v>12</v>
      </c>
      <c r="E2811" s="5" t="s">
        <v>2634</v>
      </c>
    </row>
    <row r="2812" spans="1:5" x14ac:dyDescent="0.25">
      <c r="A2812" s="5">
        <f>2804</f>
      </c>
      <c r="B2812" s="5" t="s">
        <v>2635</v>
      </c>
      <c r="C2812" s="5" t="s">
        <v>11</v>
      </c>
      <c r="D2812" s="5" t="s">
        <v>12</v>
      </c>
      <c r="E2812" s="5" t="s">
        <v>2634</v>
      </c>
    </row>
    <row r="2813" spans="1:5" x14ac:dyDescent="0.25">
      <c r="A2813" s="5">
        <f>2805</f>
      </c>
      <c r="B2813" s="5" t="s">
        <v>2636</v>
      </c>
      <c r="C2813" s="5" t="s">
        <v>11</v>
      </c>
      <c r="D2813" s="5" t="s">
        <v>12</v>
      </c>
      <c r="E2813" s="5" t="s">
        <v>2335</v>
      </c>
    </row>
    <row r="2814" spans="1:5" x14ac:dyDescent="0.25">
      <c r="A2814" s="5">
        <f>2806</f>
      </c>
      <c r="B2814" s="5" t="s">
        <v>2636</v>
      </c>
      <c r="C2814" s="5" t="s">
        <v>11</v>
      </c>
      <c r="D2814" s="5" t="s">
        <v>12</v>
      </c>
      <c r="E2814" s="5" t="s">
        <v>2335</v>
      </c>
    </row>
    <row r="2815" spans="1:5" x14ac:dyDescent="0.25">
      <c r="A2815" s="5">
        <f>2807</f>
      </c>
      <c r="B2815" s="5" t="s">
        <v>2637</v>
      </c>
      <c r="C2815" s="5" t="s">
        <v>11</v>
      </c>
      <c r="D2815" s="5" t="s">
        <v>12</v>
      </c>
      <c r="E2815" s="5" t="s">
        <v>846</v>
      </c>
    </row>
    <row r="2816" spans="1:5" x14ac:dyDescent="0.25">
      <c r="A2816" s="5">
        <f>2808</f>
      </c>
      <c r="B2816" s="5" t="s">
        <v>2637</v>
      </c>
      <c r="C2816" s="5" t="s">
        <v>11</v>
      </c>
      <c r="D2816" s="5" t="s">
        <v>12</v>
      </c>
      <c r="E2816" s="5" t="s">
        <v>846</v>
      </c>
    </row>
    <row r="2817" spans="1:5" x14ac:dyDescent="0.25">
      <c r="A2817" s="5">
        <f>2809</f>
      </c>
      <c r="B2817" s="5" t="s">
        <v>2638</v>
      </c>
      <c r="C2817" s="5" t="s">
        <v>11</v>
      </c>
      <c r="D2817" s="5" t="s">
        <v>12</v>
      </c>
      <c r="E2817" s="5" t="s">
        <v>2639</v>
      </c>
    </row>
    <row r="2818" spans="1:5" x14ac:dyDescent="0.25">
      <c r="A2818" s="5">
        <f>2810</f>
      </c>
      <c r="B2818" s="5" t="s">
        <v>2638</v>
      </c>
      <c r="C2818" s="5" t="s">
        <v>11</v>
      </c>
      <c r="D2818" s="5" t="s">
        <v>12</v>
      </c>
      <c r="E2818" s="5" t="s">
        <v>2639</v>
      </c>
    </row>
    <row r="2819" spans="1:5" x14ac:dyDescent="0.25">
      <c r="A2819" s="5">
        <f>2811</f>
      </c>
      <c r="B2819" s="5" t="s">
        <v>2640</v>
      </c>
      <c r="C2819" s="5" t="s">
        <v>11</v>
      </c>
      <c r="D2819" s="5" t="s">
        <v>12</v>
      </c>
      <c r="E2819" s="5" t="s">
        <v>2641</v>
      </c>
    </row>
    <row r="2820" spans="1:5" x14ac:dyDescent="0.25">
      <c r="A2820" s="5">
        <f>2812</f>
      </c>
      <c r="B2820" s="5" t="s">
        <v>2640</v>
      </c>
      <c r="C2820" s="5" t="s">
        <v>11</v>
      </c>
      <c r="D2820" s="5" t="s">
        <v>12</v>
      </c>
      <c r="E2820" s="5" t="s">
        <v>2641</v>
      </c>
    </row>
    <row r="2821" spans="1:5" x14ac:dyDescent="0.25">
      <c r="A2821" s="5">
        <f>2813</f>
      </c>
      <c r="B2821" s="5" t="s">
        <v>2642</v>
      </c>
      <c r="C2821" s="5" t="s">
        <v>11</v>
      </c>
      <c r="D2821" s="5" t="s">
        <v>12</v>
      </c>
      <c r="E2821" s="5" t="s">
        <v>728</v>
      </c>
    </row>
    <row r="2822" spans="1:5" x14ac:dyDescent="0.25">
      <c r="A2822" s="5">
        <f>2814</f>
      </c>
      <c r="B2822" s="5" t="s">
        <v>2642</v>
      </c>
      <c r="C2822" s="5" t="s">
        <v>11</v>
      </c>
      <c r="D2822" s="5" t="s">
        <v>12</v>
      </c>
      <c r="E2822" s="5" t="s">
        <v>728</v>
      </c>
    </row>
    <row r="2823" spans="1:5" x14ac:dyDescent="0.25">
      <c r="A2823" s="5">
        <f>2815</f>
      </c>
      <c r="B2823" s="5" t="s">
        <v>2643</v>
      </c>
      <c r="C2823" s="5" t="s">
        <v>11</v>
      </c>
      <c r="D2823" s="5" t="s">
        <v>12</v>
      </c>
      <c r="E2823" s="5" t="s">
        <v>726</v>
      </c>
    </row>
    <row r="2824" spans="1:5" x14ac:dyDescent="0.25">
      <c r="A2824" s="5">
        <f>2816</f>
      </c>
      <c r="B2824" s="5" t="s">
        <v>2643</v>
      </c>
      <c r="C2824" s="5" t="s">
        <v>11</v>
      </c>
      <c r="D2824" s="5" t="s">
        <v>12</v>
      </c>
      <c r="E2824" s="5" t="s">
        <v>726</v>
      </c>
    </row>
    <row r="2825" spans="1:5" x14ac:dyDescent="0.25">
      <c r="A2825" s="5">
        <f>2817</f>
      </c>
      <c r="B2825" s="5" t="s">
        <v>2644</v>
      </c>
      <c r="C2825" s="5" t="s">
        <v>11</v>
      </c>
      <c r="D2825" s="5" t="s">
        <v>12</v>
      </c>
      <c r="E2825" s="5" t="s">
        <v>2645</v>
      </c>
    </row>
    <row r="2826" spans="1:5" x14ac:dyDescent="0.25">
      <c r="A2826" s="5">
        <f>2818</f>
      </c>
      <c r="B2826" s="5" t="s">
        <v>2644</v>
      </c>
      <c r="C2826" s="5" t="s">
        <v>11</v>
      </c>
      <c r="D2826" s="5" t="s">
        <v>12</v>
      </c>
      <c r="E2826" s="5" t="s">
        <v>2645</v>
      </c>
    </row>
    <row r="2827" spans="1:5" x14ac:dyDescent="0.25">
      <c r="A2827" s="5">
        <f>2819</f>
      </c>
      <c r="B2827" s="5" t="s">
        <v>2646</v>
      </c>
      <c r="C2827" s="5" t="s">
        <v>11</v>
      </c>
      <c r="D2827" s="5" t="s">
        <v>12</v>
      </c>
      <c r="E2827" s="5" t="s">
        <v>990</v>
      </c>
    </row>
    <row r="2828" spans="1:5" x14ac:dyDescent="0.25">
      <c r="A2828" s="5">
        <f>2820</f>
      </c>
      <c r="B2828" s="5" t="s">
        <v>2646</v>
      </c>
      <c r="C2828" s="5" t="s">
        <v>11</v>
      </c>
      <c r="D2828" s="5" t="s">
        <v>12</v>
      </c>
      <c r="E2828" s="5" t="s">
        <v>990</v>
      </c>
    </row>
    <row r="2829" spans="1:5" x14ac:dyDescent="0.25">
      <c r="A2829" s="5">
        <f>2821</f>
      </c>
      <c r="B2829" s="5" t="s">
        <v>2647</v>
      </c>
      <c r="C2829" s="5" t="s">
        <v>11</v>
      </c>
      <c r="D2829" s="5" t="s">
        <v>12</v>
      </c>
      <c r="E2829" s="5" t="s">
        <v>2648</v>
      </c>
    </row>
    <row r="2830" spans="1:5" x14ac:dyDescent="0.25">
      <c r="A2830" s="5">
        <f>2822</f>
      </c>
      <c r="B2830" s="5" t="s">
        <v>2647</v>
      </c>
      <c r="C2830" s="5" t="s">
        <v>11</v>
      </c>
      <c r="D2830" s="5" t="s">
        <v>12</v>
      </c>
      <c r="E2830" s="5" t="s">
        <v>2648</v>
      </c>
    </row>
    <row r="2831" spans="1:5" x14ac:dyDescent="0.25">
      <c r="A2831" s="5">
        <f>2823</f>
      </c>
      <c r="B2831" s="5" t="s">
        <v>2649</v>
      </c>
      <c r="C2831" s="5" t="s">
        <v>11</v>
      </c>
      <c r="D2831" s="5" t="s">
        <v>12</v>
      </c>
      <c r="E2831" s="5" t="s">
        <v>2648</v>
      </c>
    </row>
    <row r="2832" spans="1:5" x14ac:dyDescent="0.25">
      <c r="A2832" s="5">
        <f>2824</f>
      </c>
      <c r="B2832" s="5" t="s">
        <v>2649</v>
      </c>
      <c r="C2832" s="5" t="s">
        <v>11</v>
      </c>
      <c r="D2832" s="5" t="s">
        <v>12</v>
      </c>
      <c r="E2832" s="5" t="s">
        <v>2648</v>
      </c>
    </row>
    <row r="2833" spans="1:5" x14ac:dyDescent="0.25">
      <c r="A2833" s="5">
        <f>2825</f>
      </c>
      <c r="B2833" s="5" t="s">
        <v>2650</v>
      </c>
      <c r="C2833" s="5" t="s">
        <v>11</v>
      </c>
      <c r="D2833" s="5" t="s">
        <v>12</v>
      </c>
      <c r="E2833" s="5" t="s">
        <v>2648</v>
      </c>
    </row>
    <row r="2834" spans="1:5" x14ac:dyDescent="0.25">
      <c r="A2834" s="5">
        <f>2826</f>
      </c>
      <c r="B2834" s="5" t="s">
        <v>2650</v>
      </c>
      <c r="C2834" s="5" t="s">
        <v>11</v>
      </c>
      <c r="D2834" s="5" t="s">
        <v>12</v>
      </c>
      <c r="E2834" s="5" t="s">
        <v>2648</v>
      </c>
    </row>
    <row r="2835" spans="1:5" x14ac:dyDescent="0.25">
      <c r="A2835" s="5">
        <f>2827</f>
      </c>
      <c r="B2835" s="5" t="s">
        <v>2651</v>
      </c>
      <c r="C2835" s="5" t="s">
        <v>11</v>
      </c>
      <c r="D2835" s="5" t="s">
        <v>12</v>
      </c>
      <c r="E2835" s="5" t="s">
        <v>2648</v>
      </c>
    </row>
    <row r="2836" spans="1:5" x14ac:dyDescent="0.25">
      <c r="A2836" s="5">
        <f>2828</f>
      </c>
      <c r="B2836" s="5" t="s">
        <v>2651</v>
      </c>
      <c r="C2836" s="5" t="s">
        <v>11</v>
      </c>
      <c r="D2836" s="5" t="s">
        <v>12</v>
      </c>
      <c r="E2836" s="5" t="s">
        <v>2648</v>
      </c>
    </row>
    <row r="2837" spans="1:5" x14ac:dyDescent="0.25">
      <c r="A2837" s="5">
        <f>2829</f>
      </c>
      <c r="B2837" s="5" t="s">
        <v>2652</v>
      </c>
      <c r="C2837" s="5" t="s">
        <v>11</v>
      </c>
      <c r="D2837" s="5" t="s">
        <v>12</v>
      </c>
      <c r="E2837" s="5" t="s">
        <v>2648</v>
      </c>
    </row>
    <row r="2838" spans="1:5" x14ac:dyDescent="0.25">
      <c r="A2838" s="5">
        <f>2830</f>
      </c>
      <c r="B2838" s="5" t="s">
        <v>2652</v>
      </c>
      <c r="C2838" s="5" t="s">
        <v>11</v>
      </c>
      <c r="D2838" s="5" t="s">
        <v>12</v>
      </c>
      <c r="E2838" s="5" t="s">
        <v>2648</v>
      </c>
    </row>
    <row r="2839" spans="1:5" x14ac:dyDescent="0.25">
      <c r="A2839" s="5">
        <f>2831</f>
      </c>
      <c r="B2839" s="5" t="s">
        <v>2653</v>
      </c>
      <c r="C2839" s="5" t="s">
        <v>11</v>
      </c>
      <c r="D2839" s="5" t="s">
        <v>12</v>
      </c>
      <c r="E2839" s="5" t="s">
        <v>2648</v>
      </c>
    </row>
    <row r="2840" spans="1:5" x14ac:dyDescent="0.25">
      <c r="A2840" s="5">
        <f>2832</f>
      </c>
      <c r="B2840" s="5" t="s">
        <v>2653</v>
      </c>
      <c r="C2840" s="5" t="s">
        <v>11</v>
      </c>
      <c r="D2840" s="5" t="s">
        <v>12</v>
      </c>
      <c r="E2840" s="5" t="s">
        <v>2648</v>
      </c>
    </row>
    <row r="2841" spans="1:5" x14ac:dyDescent="0.25">
      <c r="A2841" s="5">
        <f>2833</f>
      </c>
      <c r="B2841" s="5" t="s">
        <v>2654</v>
      </c>
      <c r="C2841" s="5" t="s">
        <v>11</v>
      </c>
      <c r="D2841" s="5" t="s">
        <v>12</v>
      </c>
      <c r="E2841" s="5" t="s">
        <v>2648</v>
      </c>
    </row>
    <row r="2842" spans="1:5" x14ac:dyDescent="0.25">
      <c r="A2842" s="5">
        <f>2834</f>
      </c>
      <c r="B2842" s="5" t="s">
        <v>2654</v>
      </c>
      <c r="C2842" s="5" t="s">
        <v>11</v>
      </c>
      <c r="D2842" s="5" t="s">
        <v>12</v>
      </c>
      <c r="E2842" s="5" t="s">
        <v>2648</v>
      </c>
    </row>
    <row r="2843" spans="1:5" x14ac:dyDescent="0.25">
      <c r="A2843" s="5">
        <f>2835</f>
      </c>
      <c r="B2843" s="5" t="s">
        <v>2655</v>
      </c>
      <c r="C2843" s="5" t="s">
        <v>11</v>
      </c>
      <c r="D2843" s="5" t="s">
        <v>12</v>
      </c>
      <c r="E2843" s="5" t="s">
        <v>2648</v>
      </c>
    </row>
    <row r="2844" spans="1:5" x14ac:dyDescent="0.25">
      <c r="A2844" s="5">
        <f>2836</f>
      </c>
      <c r="B2844" s="5" t="s">
        <v>2655</v>
      </c>
      <c r="C2844" s="5" t="s">
        <v>11</v>
      </c>
      <c r="D2844" s="5" t="s">
        <v>12</v>
      </c>
      <c r="E2844" s="5" t="s">
        <v>2648</v>
      </c>
    </row>
    <row r="2845" spans="1:5" x14ac:dyDescent="0.25">
      <c r="A2845" s="5">
        <f>2837</f>
      </c>
      <c r="B2845" s="5" t="s">
        <v>2656</v>
      </c>
      <c r="C2845" s="5" t="s">
        <v>11</v>
      </c>
      <c r="D2845" s="5" t="s">
        <v>12</v>
      </c>
      <c r="E2845" s="5" t="s">
        <v>2648</v>
      </c>
    </row>
    <row r="2846" spans="1:5" x14ac:dyDescent="0.25">
      <c r="A2846" s="5">
        <f>2838</f>
      </c>
      <c r="B2846" s="5" t="s">
        <v>2656</v>
      </c>
      <c r="C2846" s="5" t="s">
        <v>11</v>
      </c>
      <c r="D2846" s="5" t="s">
        <v>12</v>
      </c>
      <c r="E2846" s="5" t="s">
        <v>2648</v>
      </c>
    </row>
    <row r="2847" spans="1:5" x14ac:dyDescent="0.25">
      <c r="A2847" s="5">
        <f>2839</f>
      </c>
      <c r="B2847" s="5" t="s">
        <v>2657</v>
      </c>
      <c r="C2847" s="5" t="s">
        <v>11</v>
      </c>
      <c r="D2847" s="5" t="s">
        <v>12</v>
      </c>
      <c r="E2847" s="5" t="s">
        <v>2648</v>
      </c>
    </row>
    <row r="2848" spans="1:5" x14ac:dyDescent="0.25">
      <c r="A2848" s="5">
        <f>2840</f>
      </c>
      <c r="B2848" s="5" t="s">
        <v>2657</v>
      </c>
      <c r="C2848" s="5" t="s">
        <v>11</v>
      </c>
      <c r="D2848" s="5" t="s">
        <v>12</v>
      </c>
      <c r="E2848" s="5" t="s">
        <v>2648</v>
      </c>
    </row>
    <row r="2849" spans="1:5" x14ac:dyDescent="0.25">
      <c r="A2849" s="5">
        <f>2841</f>
      </c>
      <c r="B2849" s="5" t="s">
        <v>2658</v>
      </c>
      <c r="C2849" s="5" t="s">
        <v>11</v>
      </c>
      <c r="D2849" s="5" t="s">
        <v>12</v>
      </c>
      <c r="E2849" s="5" t="s">
        <v>2610</v>
      </c>
    </row>
    <row r="2850" spans="1:5" x14ac:dyDescent="0.25">
      <c r="A2850" s="5">
        <f>2842</f>
      </c>
      <c r="B2850" s="5" t="s">
        <v>2658</v>
      </c>
      <c r="C2850" s="5" t="s">
        <v>11</v>
      </c>
      <c r="D2850" s="5" t="s">
        <v>12</v>
      </c>
      <c r="E2850" s="5" t="s">
        <v>2610</v>
      </c>
    </row>
    <row r="2851" spans="1:5" x14ac:dyDescent="0.25">
      <c r="A2851" s="5">
        <f>2843</f>
      </c>
      <c r="B2851" s="5" t="s">
        <v>2659</v>
      </c>
      <c r="C2851" s="5" t="s">
        <v>11</v>
      </c>
      <c r="D2851" s="5" t="s">
        <v>12</v>
      </c>
      <c r="E2851" s="5" t="s">
        <v>2610</v>
      </c>
    </row>
    <row r="2852" spans="1:5" x14ac:dyDescent="0.25">
      <c r="A2852" s="5">
        <f>2844</f>
      </c>
      <c r="B2852" s="5" t="s">
        <v>2659</v>
      </c>
      <c r="C2852" s="5" t="s">
        <v>11</v>
      </c>
      <c r="D2852" s="5" t="s">
        <v>12</v>
      </c>
      <c r="E2852" s="5" t="s">
        <v>2610</v>
      </c>
    </row>
    <row r="2853" spans="1:5" x14ac:dyDescent="0.25">
      <c r="A2853" s="5">
        <f>2845</f>
      </c>
      <c r="B2853" s="5" t="s">
        <v>2660</v>
      </c>
      <c r="C2853" s="5" t="s">
        <v>11</v>
      </c>
      <c r="D2853" s="5" t="s">
        <v>12</v>
      </c>
      <c r="E2853" s="5" t="s">
        <v>2661</v>
      </c>
    </row>
    <row r="2854" spans="1:5" x14ac:dyDescent="0.25">
      <c r="A2854" s="5">
        <f>2846</f>
      </c>
      <c r="B2854" s="5" t="s">
        <v>2660</v>
      </c>
      <c r="C2854" s="5" t="s">
        <v>11</v>
      </c>
      <c r="D2854" s="5" t="s">
        <v>12</v>
      </c>
      <c r="E2854" s="5" t="s">
        <v>2661</v>
      </c>
    </row>
    <row r="2855" spans="1:5" x14ac:dyDescent="0.25">
      <c r="A2855" s="5">
        <f>2847</f>
      </c>
      <c r="B2855" s="5" t="s">
        <v>2662</v>
      </c>
      <c r="C2855" s="5" t="s">
        <v>11</v>
      </c>
      <c r="D2855" s="5" t="s">
        <v>12</v>
      </c>
      <c r="E2855" s="5" t="s">
        <v>2316</v>
      </c>
    </row>
    <row r="2856" spans="1:5" x14ac:dyDescent="0.25">
      <c r="A2856" s="5">
        <f>2848</f>
      </c>
      <c r="B2856" s="5" t="s">
        <v>2662</v>
      </c>
      <c r="C2856" s="5" t="s">
        <v>11</v>
      </c>
      <c r="D2856" s="5" t="s">
        <v>12</v>
      </c>
      <c r="E2856" s="5" t="s">
        <v>2316</v>
      </c>
    </row>
    <row r="2857" spans="1:5" x14ac:dyDescent="0.25">
      <c r="A2857" s="5">
        <f>2849</f>
      </c>
      <c r="B2857" s="5" t="s">
        <v>2663</v>
      </c>
      <c r="C2857" s="5" t="s">
        <v>11</v>
      </c>
      <c r="D2857" s="5" t="s">
        <v>12</v>
      </c>
      <c r="E2857" s="5" t="s">
        <v>2594</v>
      </c>
    </row>
    <row r="2858" spans="1:5" x14ac:dyDescent="0.25">
      <c r="A2858" s="5">
        <f>2850</f>
      </c>
      <c r="B2858" s="5" t="s">
        <v>2663</v>
      </c>
      <c r="C2858" s="5" t="s">
        <v>11</v>
      </c>
      <c r="D2858" s="5" t="s">
        <v>12</v>
      </c>
      <c r="E2858" s="5" t="s">
        <v>2594</v>
      </c>
    </row>
    <row r="2859" spans="1:5" x14ac:dyDescent="0.25">
      <c r="A2859" s="5">
        <f>2851</f>
      </c>
      <c r="B2859" s="5" t="s">
        <v>2664</v>
      </c>
      <c r="C2859" s="5" t="s">
        <v>11</v>
      </c>
      <c r="D2859" s="5" t="s">
        <v>12</v>
      </c>
      <c r="E2859" s="5" t="s">
        <v>2665</v>
      </c>
    </row>
    <row r="2860" spans="1:5" x14ac:dyDescent="0.25">
      <c r="A2860" s="5">
        <f>2852</f>
      </c>
      <c r="B2860" s="5" t="s">
        <v>2664</v>
      </c>
      <c r="C2860" s="5" t="s">
        <v>11</v>
      </c>
      <c r="D2860" s="5" t="s">
        <v>12</v>
      </c>
      <c r="E2860" s="5" t="s">
        <v>2665</v>
      </c>
    </row>
    <row r="2861" spans="1:5" x14ac:dyDescent="0.25">
      <c r="A2861" s="5">
        <f>2853</f>
      </c>
      <c r="B2861" s="5" t="s">
        <v>2666</v>
      </c>
      <c r="C2861" s="5" t="s">
        <v>11</v>
      </c>
      <c r="D2861" s="5" t="s">
        <v>12</v>
      </c>
      <c r="E2861" s="5" t="s">
        <v>2665</v>
      </c>
    </row>
    <row r="2862" spans="1:5" x14ac:dyDescent="0.25">
      <c r="A2862" s="5">
        <f>2854</f>
      </c>
      <c r="B2862" s="5" t="s">
        <v>2666</v>
      </c>
      <c r="C2862" s="5" t="s">
        <v>11</v>
      </c>
      <c r="D2862" s="5" t="s">
        <v>12</v>
      </c>
      <c r="E2862" s="5" t="s">
        <v>2665</v>
      </c>
    </row>
    <row r="2863" spans="1:5" x14ac:dyDescent="0.25">
      <c r="A2863" s="5">
        <f>2855</f>
      </c>
      <c r="B2863" s="5" t="s">
        <v>2667</v>
      </c>
      <c r="C2863" s="5" t="s">
        <v>11</v>
      </c>
      <c r="D2863" s="5" t="s">
        <v>12</v>
      </c>
      <c r="E2863" s="5" t="s">
        <v>2668</v>
      </c>
    </row>
    <row r="2864" spans="1:5" x14ac:dyDescent="0.25">
      <c r="A2864" s="5">
        <f>2856</f>
      </c>
      <c r="B2864" s="5" t="s">
        <v>2667</v>
      </c>
      <c r="C2864" s="5" t="s">
        <v>11</v>
      </c>
      <c r="D2864" s="5" t="s">
        <v>12</v>
      </c>
      <c r="E2864" s="5" t="s">
        <v>2668</v>
      </c>
    </row>
    <row r="2865" spans="1:5" x14ac:dyDescent="0.25">
      <c r="A2865" s="5">
        <f>2857</f>
      </c>
      <c r="B2865" s="5" t="s">
        <v>2669</v>
      </c>
      <c r="C2865" s="5" t="s">
        <v>11</v>
      </c>
      <c r="D2865" s="5" t="s">
        <v>12</v>
      </c>
      <c r="E2865" s="5" t="s">
        <v>2304</v>
      </c>
    </row>
    <row r="2866" spans="1:5" x14ac:dyDescent="0.25">
      <c r="A2866" s="5">
        <f>2858</f>
      </c>
      <c r="B2866" s="5" t="s">
        <v>2669</v>
      </c>
      <c r="C2866" s="5" t="s">
        <v>11</v>
      </c>
      <c r="D2866" s="5" t="s">
        <v>12</v>
      </c>
      <c r="E2866" s="5" t="s">
        <v>2304</v>
      </c>
    </row>
    <row r="2867" spans="1:5" x14ac:dyDescent="0.25">
      <c r="A2867" s="5">
        <f>2859</f>
      </c>
      <c r="B2867" s="5" t="s">
        <v>2670</v>
      </c>
      <c r="C2867" s="5" t="s">
        <v>11</v>
      </c>
      <c r="D2867" s="5" t="s">
        <v>12</v>
      </c>
      <c r="E2867" s="5" t="s">
        <v>2671</v>
      </c>
    </row>
    <row r="2868" spans="1:5" x14ac:dyDescent="0.25">
      <c r="A2868" s="5">
        <f>2860</f>
      </c>
      <c r="B2868" s="5" t="s">
        <v>2670</v>
      </c>
      <c r="C2868" s="5" t="s">
        <v>11</v>
      </c>
      <c r="D2868" s="5" t="s">
        <v>12</v>
      </c>
      <c r="E2868" s="5" t="s">
        <v>2671</v>
      </c>
    </row>
    <row r="2869" spans="1:5" x14ac:dyDescent="0.25">
      <c r="A2869" s="5">
        <f>2861</f>
      </c>
      <c r="B2869" s="5" t="s">
        <v>2672</v>
      </c>
      <c r="C2869" s="5" t="s">
        <v>11</v>
      </c>
      <c r="D2869" s="5" t="s">
        <v>12</v>
      </c>
      <c r="E2869" s="5" t="s">
        <v>927</v>
      </c>
    </row>
    <row r="2870" spans="1:5" x14ac:dyDescent="0.25">
      <c r="A2870" s="5">
        <f>2862</f>
      </c>
      <c r="B2870" s="5" t="s">
        <v>2672</v>
      </c>
      <c r="C2870" s="5" t="s">
        <v>11</v>
      </c>
      <c r="D2870" s="5" t="s">
        <v>12</v>
      </c>
      <c r="E2870" s="5" t="s">
        <v>927</v>
      </c>
    </row>
    <row r="2871" spans="1:5" x14ac:dyDescent="0.25">
      <c r="A2871" s="5">
        <f>2863</f>
      </c>
      <c r="B2871" s="5" t="s">
        <v>2673</v>
      </c>
      <c r="C2871" s="5" t="s">
        <v>11</v>
      </c>
      <c r="D2871" s="5" t="s">
        <v>12</v>
      </c>
      <c r="E2871" s="5" t="s">
        <v>2241</v>
      </c>
    </row>
    <row r="2872" spans="1:5" x14ac:dyDescent="0.25">
      <c r="A2872" s="5">
        <f>2864</f>
      </c>
      <c r="B2872" s="5" t="s">
        <v>2673</v>
      </c>
      <c r="C2872" s="5" t="s">
        <v>11</v>
      </c>
      <c r="D2872" s="5" t="s">
        <v>12</v>
      </c>
      <c r="E2872" s="5" t="s">
        <v>2241</v>
      </c>
    </row>
    <row r="2873" spans="1:5" x14ac:dyDescent="0.25">
      <c r="A2873" s="5">
        <f>2865</f>
      </c>
      <c r="B2873" s="5" t="s">
        <v>2674</v>
      </c>
      <c r="C2873" s="5" t="s">
        <v>11</v>
      </c>
      <c r="D2873" s="5" t="s">
        <v>12</v>
      </c>
      <c r="E2873" s="5" t="s">
        <v>2675</v>
      </c>
    </row>
    <row r="2874" spans="1:5" x14ac:dyDescent="0.25">
      <c r="A2874" s="5">
        <f>2866</f>
      </c>
      <c r="B2874" s="5" t="s">
        <v>2674</v>
      </c>
      <c r="C2874" s="5" t="s">
        <v>11</v>
      </c>
      <c r="D2874" s="5" t="s">
        <v>12</v>
      </c>
      <c r="E2874" s="5" t="s">
        <v>2675</v>
      </c>
    </row>
    <row r="2875" spans="1:5" x14ac:dyDescent="0.25">
      <c r="A2875" s="5">
        <f>2867</f>
      </c>
      <c r="B2875" s="5" t="s">
        <v>2676</v>
      </c>
      <c r="C2875" s="5" t="s">
        <v>11</v>
      </c>
      <c r="D2875" s="5" t="s">
        <v>12</v>
      </c>
      <c r="E2875" s="5" t="s">
        <v>2259</v>
      </c>
    </row>
    <row r="2876" spans="1:5" x14ac:dyDescent="0.25">
      <c r="A2876" s="5">
        <f>2868</f>
      </c>
      <c r="B2876" s="5" t="s">
        <v>2676</v>
      </c>
      <c r="C2876" s="5" t="s">
        <v>11</v>
      </c>
      <c r="D2876" s="5" t="s">
        <v>12</v>
      </c>
      <c r="E2876" s="5" t="s">
        <v>2259</v>
      </c>
    </row>
    <row r="2877" spans="1:5" x14ac:dyDescent="0.25">
      <c r="A2877" s="5">
        <f>2869</f>
      </c>
      <c r="B2877" s="5" t="s">
        <v>2677</v>
      </c>
      <c r="C2877" s="5" t="s">
        <v>11</v>
      </c>
      <c r="D2877" s="5" t="s">
        <v>12</v>
      </c>
      <c r="E2877" s="5" t="s">
        <v>720</v>
      </c>
    </row>
    <row r="2878" spans="1:5" x14ac:dyDescent="0.25">
      <c r="A2878" s="5">
        <f>2870</f>
      </c>
      <c r="B2878" s="5" t="s">
        <v>2677</v>
      </c>
      <c r="C2878" s="5" t="s">
        <v>11</v>
      </c>
      <c r="D2878" s="5" t="s">
        <v>12</v>
      </c>
      <c r="E2878" s="5" t="s">
        <v>720</v>
      </c>
    </row>
    <row r="2879" spans="1:5" x14ac:dyDescent="0.25">
      <c r="A2879" s="5">
        <f>2871</f>
      </c>
      <c r="B2879" s="5" t="s">
        <v>2678</v>
      </c>
      <c r="C2879" s="5" t="s">
        <v>11</v>
      </c>
      <c r="D2879" s="5" t="s">
        <v>12</v>
      </c>
      <c r="E2879" s="5" t="s">
        <v>993</v>
      </c>
    </row>
    <row r="2880" spans="1:5" x14ac:dyDescent="0.25">
      <c r="A2880" s="5">
        <f>2872</f>
      </c>
      <c r="B2880" s="5" t="s">
        <v>2678</v>
      </c>
      <c r="C2880" s="5" t="s">
        <v>11</v>
      </c>
      <c r="D2880" s="5" t="s">
        <v>12</v>
      </c>
      <c r="E2880" s="5" t="s">
        <v>993</v>
      </c>
    </row>
    <row r="2881" spans="1:5" x14ac:dyDescent="0.25">
      <c r="A2881" s="5">
        <f>2873</f>
      </c>
      <c r="B2881" s="5" t="s">
        <v>2679</v>
      </c>
      <c r="C2881" s="5" t="s">
        <v>11</v>
      </c>
      <c r="D2881" s="5" t="s">
        <v>12</v>
      </c>
      <c r="E2881" s="5" t="s">
        <v>993</v>
      </c>
    </row>
    <row r="2882" spans="1:5" x14ac:dyDescent="0.25">
      <c r="A2882" s="5">
        <f>2874</f>
      </c>
      <c r="B2882" s="5" t="s">
        <v>2679</v>
      </c>
      <c r="C2882" s="5" t="s">
        <v>11</v>
      </c>
      <c r="D2882" s="5" t="s">
        <v>12</v>
      </c>
      <c r="E2882" s="5" t="s">
        <v>993</v>
      </c>
    </row>
    <row r="2883" spans="1:5" x14ac:dyDescent="0.25">
      <c r="A2883" s="5">
        <f>2875</f>
      </c>
      <c r="B2883" s="5" t="s">
        <v>2680</v>
      </c>
      <c r="C2883" s="5" t="s">
        <v>11</v>
      </c>
      <c r="D2883" s="5" t="s">
        <v>12</v>
      </c>
      <c r="E2883" s="5" t="s">
        <v>726</v>
      </c>
    </row>
    <row r="2884" spans="1:5" x14ac:dyDescent="0.25">
      <c r="A2884" s="5">
        <f>2876</f>
      </c>
      <c r="B2884" s="5" t="s">
        <v>2680</v>
      </c>
      <c r="C2884" s="5" t="s">
        <v>11</v>
      </c>
      <c r="D2884" s="5" t="s">
        <v>12</v>
      </c>
      <c r="E2884" s="5" t="s">
        <v>726</v>
      </c>
    </row>
    <row r="2885" spans="1:5" x14ac:dyDescent="0.25">
      <c r="A2885" s="5">
        <f>2877</f>
      </c>
      <c r="B2885" s="5" t="s">
        <v>2681</v>
      </c>
      <c r="C2885" s="5" t="s">
        <v>11</v>
      </c>
      <c r="D2885" s="5" t="s">
        <v>12</v>
      </c>
      <c r="E2885" s="5" t="s">
        <v>726</v>
      </c>
    </row>
    <row r="2886" spans="1:5" x14ac:dyDescent="0.25">
      <c r="A2886" s="5">
        <f>2878</f>
      </c>
      <c r="B2886" s="5" t="s">
        <v>2681</v>
      </c>
      <c r="C2886" s="5" t="s">
        <v>11</v>
      </c>
      <c r="D2886" s="5" t="s">
        <v>12</v>
      </c>
      <c r="E2886" s="5" t="s">
        <v>726</v>
      </c>
    </row>
    <row r="2887" spans="1:5" x14ac:dyDescent="0.25">
      <c r="A2887" s="5">
        <f>2879</f>
      </c>
      <c r="B2887" s="5" t="s">
        <v>2682</v>
      </c>
      <c r="C2887" s="5" t="s">
        <v>11</v>
      </c>
      <c r="D2887" s="5" t="s">
        <v>12</v>
      </c>
      <c r="E2887" s="5" t="s">
        <v>726</v>
      </c>
    </row>
    <row r="2888" spans="1:5" x14ac:dyDescent="0.25">
      <c r="A2888" s="5">
        <f>2880</f>
      </c>
      <c r="B2888" s="5" t="s">
        <v>2682</v>
      </c>
      <c r="C2888" s="5" t="s">
        <v>11</v>
      </c>
      <c r="D2888" s="5" t="s">
        <v>12</v>
      </c>
      <c r="E2888" s="5" t="s">
        <v>726</v>
      </c>
    </row>
    <row r="2889" spans="1:5" x14ac:dyDescent="0.25">
      <c r="A2889" s="5">
        <f>2881</f>
      </c>
      <c r="B2889" s="5" t="s">
        <v>2683</v>
      </c>
      <c r="C2889" s="5" t="s">
        <v>11</v>
      </c>
      <c r="D2889" s="5" t="s">
        <v>12</v>
      </c>
      <c r="E2889" s="5" t="s">
        <v>726</v>
      </c>
    </row>
    <row r="2890" spans="1:5" x14ac:dyDescent="0.25">
      <c r="A2890" s="5">
        <f>2882</f>
      </c>
      <c r="B2890" s="5" t="s">
        <v>2683</v>
      </c>
      <c r="C2890" s="5" t="s">
        <v>11</v>
      </c>
      <c r="D2890" s="5" t="s">
        <v>12</v>
      </c>
      <c r="E2890" s="5" t="s">
        <v>726</v>
      </c>
    </row>
    <row r="2891" spans="1:5" x14ac:dyDescent="0.25">
      <c r="A2891" s="5">
        <f>2883</f>
      </c>
      <c r="B2891" s="5" t="s">
        <v>2684</v>
      </c>
      <c r="C2891" s="5" t="s">
        <v>11</v>
      </c>
      <c r="D2891" s="5" t="s">
        <v>12</v>
      </c>
      <c r="E2891" s="5" t="s">
        <v>726</v>
      </c>
    </row>
    <row r="2892" spans="1:5" x14ac:dyDescent="0.25">
      <c r="A2892" s="5">
        <f>2884</f>
      </c>
      <c r="B2892" s="5" t="s">
        <v>2684</v>
      </c>
      <c r="C2892" s="5" t="s">
        <v>11</v>
      </c>
      <c r="D2892" s="5" t="s">
        <v>12</v>
      </c>
      <c r="E2892" s="5" t="s">
        <v>726</v>
      </c>
    </row>
    <row r="2893" spans="1:5" x14ac:dyDescent="0.25">
      <c r="A2893" s="5">
        <f>2885</f>
      </c>
      <c r="B2893" s="5" t="s">
        <v>2685</v>
      </c>
      <c r="C2893" s="5" t="s">
        <v>11</v>
      </c>
      <c r="D2893" s="5" t="s">
        <v>12</v>
      </c>
      <c r="E2893" s="5" t="s">
        <v>726</v>
      </c>
    </row>
    <row r="2894" spans="1:5" x14ac:dyDescent="0.25">
      <c r="A2894" s="5">
        <f>2886</f>
      </c>
      <c r="B2894" s="5" t="s">
        <v>2685</v>
      </c>
      <c r="C2894" s="5" t="s">
        <v>11</v>
      </c>
      <c r="D2894" s="5" t="s">
        <v>12</v>
      </c>
      <c r="E2894" s="5" t="s">
        <v>726</v>
      </c>
    </row>
    <row r="2895" spans="1:5" x14ac:dyDescent="0.25">
      <c r="A2895" s="5">
        <f>2887</f>
      </c>
      <c r="B2895" s="5" t="s">
        <v>2686</v>
      </c>
      <c r="C2895" s="5" t="s">
        <v>11</v>
      </c>
      <c r="D2895" s="5" t="s">
        <v>12</v>
      </c>
      <c r="E2895" s="5" t="s">
        <v>726</v>
      </c>
    </row>
    <row r="2896" spans="1:5" x14ac:dyDescent="0.25">
      <c r="A2896" s="5">
        <f>2888</f>
      </c>
      <c r="B2896" s="5" t="s">
        <v>2686</v>
      </c>
      <c r="C2896" s="5" t="s">
        <v>11</v>
      </c>
      <c r="D2896" s="5" t="s">
        <v>12</v>
      </c>
      <c r="E2896" s="5" t="s">
        <v>726</v>
      </c>
    </row>
    <row r="2897" spans="1:5" x14ac:dyDescent="0.25">
      <c r="A2897" s="5">
        <f>2889</f>
      </c>
      <c r="B2897" s="5" t="s">
        <v>2687</v>
      </c>
      <c r="C2897" s="5" t="s">
        <v>11</v>
      </c>
      <c r="D2897" s="5" t="s">
        <v>12</v>
      </c>
      <c r="E2897" s="5" t="s">
        <v>726</v>
      </c>
    </row>
    <row r="2898" spans="1:5" x14ac:dyDescent="0.25">
      <c r="A2898" s="5">
        <f>2890</f>
      </c>
      <c r="B2898" s="5" t="s">
        <v>2687</v>
      </c>
      <c r="C2898" s="5" t="s">
        <v>11</v>
      </c>
      <c r="D2898" s="5" t="s">
        <v>12</v>
      </c>
      <c r="E2898" s="5" t="s">
        <v>726</v>
      </c>
    </row>
    <row r="2899" spans="1:5" x14ac:dyDescent="0.25">
      <c r="A2899" s="5">
        <f>2891</f>
      </c>
      <c r="B2899" s="5" t="s">
        <v>2688</v>
      </c>
      <c r="C2899" s="5" t="s">
        <v>11</v>
      </c>
      <c r="D2899" s="5" t="s">
        <v>12</v>
      </c>
      <c r="E2899" s="5" t="s">
        <v>726</v>
      </c>
    </row>
    <row r="2900" spans="1:5" x14ac:dyDescent="0.25">
      <c r="A2900" s="5">
        <f>2892</f>
      </c>
      <c r="B2900" s="5" t="s">
        <v>2688</v>
      </c>
      <c r="C2900" s="5" t="s">
        <v>11</v>
      </c>
      <c r="D2900" s="5" t="s">
        <v>12</v>
      </c>
      <c r="E2900" s="5" t="s">
        <v>726</v>
      </c>
    </row>
    <row r="2901" spans="1:5" x14ac:dyDescent="0.25">
      <c r="A2901" s="5">
        <f>2893</f>
      </c>
      <c r="B2901" s="5" t="s">
        <v>2689</v>
      </c>
      <c r="C2901" s="5" t="s">
        <v>11</v>
      </c>
      <c r="D2901" s="5" t="s">
        <v>12</v>
      </c>
      <c r="E2901" s="5" t="s">
        <v>726</v>
      </c>
    </row>
    <row r="2902" spans="1:5" x14ac:dyDescent="0.25">
      <c r="A2902" s="5">
        <f>2894</f>
      </c>
      <c r="B2902" s="5" t="s">
        <v>2689</v>
      </c>
      <c r="C2902" s="5" t="s">
        <v>11</v>
      </c>
      <c r="D2902" s="5" t="s">
        <v>12</v>
      </c>
      <c r="E2902" s="5" t="s">
        <v>726</v>
      </c>
    </row>
    <row r="2903" spans="1:5" x14ac:dyDescent="0.25">
      <c r="A2903" s="5">
        <f>2895</f>
      </c>
      <c r="B2903" s="5" t="s">
        <v>2690</v>
      </c>
      <c r="C2903" s="5" t="s">
        <v>11</v>
      </c>
      <c r="D2903" s="5" t="s">
        <v>12</v>
      </c>
      <c r="E2903" s="5" t="s">
        <v>726</v>
      </c>
    </row>
    <row r="2904" spans="1:5" x14ac:dyDescent="0.25">
      <c r="A2904" s="5">
        <f>2896</f>
      </c>
      <c r="B2904" s="5" t="s">
        <v>2690</v>
      </c>
      <c r="C2904" s="5" t="s">
        <v>11</v>
      </c>
      <c r="D2904" s="5" t="s">
        <v>12</v>
      </c>
      <c r="E2904" s="5" t="s">
        <v>726</v>
      </c>
    </row>
    <row r="2905" spans="1:5" x14ac:dyDescent="0.25">
      <c r="A2905" s="5">
        <f>2897</f>
      </c>
      <c r="B2905" s="5" t="s">
        <v>2691</v>
      </c>
      <c r="C2905" s="5" t="s">
        <v>11</v>
      </c>
      <c r="D2905" s="5" t="s">
        <v>12</v>
      </c>
      <c r="E2905" s="5" t="s">
        <v>726</v>
      </c>
    </row>
    <row r="2906" spans="1:5" x14ac:dyDescent="0.25">
      <c r="A2906" s="5">
        <f>2898</f>
      </c>
      <c r="B2906" s="5" t="s">
        <v>2691</v>
      </c>
      <c r="C2906" s="5" t="s">
        <v>11</v>
      </c>
      <c r="D2906" s="5" t="s">
        <v>12</v>
      </c>
      <c r="E2906" s="5" t="s">
        <v>726</v>
      </c>
    </row>
    <row r="2907" spans="1:5" x14ac:dyDescent="0.25">
      <c r="A2907" s="5">
        <f>2899</f>
      </c>
      <c r="B2907" s="5" t="s">
        <v>2692</v>
      </c>
      <c r="C2907" s="5" t="s">
        <v>11</v>
      </c>
      <c r="D2907" s="5" t="s">
        <v>12</v>
      </c>
      <c r="E2907" s="5" t="s">
        <v>726</v>
      </c>
    </row>
    <row r="2908" spans="1:5" x14ac:dyDescent="0.25">
      <c r="A2908" s="5">
        <f>2900</f>
      </c>
      <c r="B2908" s="5" t="s">
        <v>2692</v>
      </c>
      <c r="C2908" s="5" t="s">
        <v>11</v>
      </c>
      <c r="D2908" s="5" t="s">
        <v>12</v>
      </c>
      <c r="E2908" s="5" t="s">
        <v>726</v>
      </c>
    </row>
    <row r="2909" spans="1:5" x14ac:dyDescent="0.25">
      <c r="A2909" s="5">
        <f>2901</f>
      </c>
      <c r="B2909" s="5" t="s">
        <v>2693</v>
      </c>
      <c r="C2909" s="5" t="s">
        <v>11</v>
      </c>
      <c r="D2909" s="5" t="s">
        <v>12</v>
      </c>
      <c r="E2909" s="5" t="s">
        <v>726</v>
      </c>
    </row>
    <row r="2910" spans="1:5" x14ac:dyDescent="0.25">
      <c r="A2910" s="5">
        <f>2902</f>
      </c>
      <c r="B2910" s="5" t="s">
        <v>2693</v>
      </c>
      <c r="C2910" s="5" t="s">
        <v>11</v>
      </c>
      <c r="D2910" s="5" t="s">
        <v>12</v>
      </c>
      <c r="E2910" s="5" t="s">
        <v>726</v>
      </c>
    </row>
    <row r="2911" spans="1:5" x14ac:dyDescent="0.25">
      <c r="A2911" s="5">
        <f>2903</f>
      </c>
      <c r="B2911" s="5" t="s">
        <v>2694</v>
      </c>
      <c r="C2911" s="5" t="s">
        <v>11</v>
      </c>
      <c r="D2911" s="5" t="s">
        <v>12</v>
      </c>
      <c r="E2911" s="5" t="s">
        <v>726</v>
      </c>
    </row>
    <row r="2912" spans="1:5" x14ac:dyDescent="0.25">
      <c r="A2912" s="5">
        <f>2904</f>
      </c>
      <c r="B2912" s="5" t="s">
        <v>2694</v>
      </c>
      <c r="C2912" s="5" t="s">
        <v>11</v>
      </c>
      <c r="D2912" s="5" t="s">
        <v>12</v>
      </c>
      <c r="E2912" s="5" t="s">
        <v>726</v>
      </c>
    </row>
    <row r="2913" spans="1:5" x14ac:dyDescent="0.25">
      <c r="A2913" s="5">
        <f>2905</f>
      </c>
      <c r="B2913" s="5" t="s">
        <v>2695</v>
      </c>
      <c r="C2913" s="5" t="s">
        <v>11</v>
      </c>
      <c r="D2913" s="5" t="s">
        <v>12</v>
      </c>
      <c r="E2913" s="5" t="s">
        <v>726</v>
      </c>
    </row>
    <row r="2914" spans="1:5" x14ac:dyDescent="0.25">
      <c r="A2914" s="5">
        <f>2906</f>
      </c>
      <c r="B2914" s="5" t="s">
        <v>2695</v>
      </c>
      <c r="C2914" s="5" t="s">
        <v>11</v>
      </c>
      <c r="D2914" s="5" t="s">
        <v>12</v>
      </c>
      <c r="E2914" s="5" t="s">
        <v>726</v>
      </c>
    </row>
    <row r="2915" spans="1:5" x14ac:dyDescent="0.25">
      <c r="A2915" s="5">
        <f>2907</f>
      </c>
      <c r="B2915" s="5" t="s">
        <v>2696</v>
      </c>
      <c r="C2915" s="5" t="s">
        <v>11</v>
      </c>
      <c r="D2915" s="5" t="s">
        <v>12</v>
      </c>
      <c r="E2915" s="5" t="s">
        <v>726</v>
      </c>
    </row>
    <row r="2916" spans="1:5" x14ac:dyDescent="0.25">
      <c r="A2916" s="5">
        <f>2908</f>
      </c>
      <c r="B2916" s="5" t="s">
        <v>2696</v>
      </c>
      <c r="C2916" s="5" t="s">
        <v>11</v>
      </c>
      <c r="D2916" s="5" t="s">
        <v>12</v>
      </c>
      <c r="E2916" s="5" t="s">
        <v>726</v>
      </c>
    </row>
    <row r="2917" spans="1:5" x14ac:dyDescent="0.25">
      <c r="A2917" s="5">
        <f>2909</f>
      </c>
      <c r="B2917" s="5" t="s">
        <v>2697</v>
      </c>
      <c r="C2917" s="5" t="s">
        <v>11</v>
      </c>
      <c r="D2917" s="5" t="s">
        <v>12</v>
      </c>
      <c r="E2917" s="5" t="s">
        <v>726</v>
      </c>
    </row>
    <row r="2918" spans="1:5" x14ac:dyDescent="0.25">
      <c r="A2918" s="5">
        <f>2910</f>
      </c>
      <c r="B2918" s="5" t="s">
        <v>2697</v>
      </c>
      <c r="C2918" s="5" t="s">
        <v>11</v>
      </c>
      <c r="D2918" s="5" t="s">
        <v>12</v>
      </c>
      <c r="E2918" s="5" t="s">
        <v>726</v>
      </c>
    </row>
    <row r="2919" spans="1:5" x14ac:dyDescent="0.25">
      <c r="A2919" s="5">
        <f>2911</f>
      </c>
      <c r="B2919" s="5" t="s">
        <v>2698</v>
      </c>
      <c r="C2919" s="5" t="s">
        <v>11</v>
      </c>
      <c r="D2919" s="5" t="s">
        <v>12</v>
      </c>
      <c r="E2919" s="5" t="s">
        <v>726</v>
      </c>
    </row>
    <row r="2920" spans="1:5" x14ac:dyDescent="0.25">
      <c r="A2920" s="5">
        <f>2912</f>
      </c>
      <c r="B2920" s="5" t="s">
        <v>2698</v>
      </c>
      <c r="C2920" s="5" t="s">
        <v>11</v>
      </c>
      <c r="D2920" s="5" t="s">
        <v>12</v>
      </c>
      <c r="E2920" s="5" t="s">
        <v>726</v>
      </c>
    </row>
    <row r="2921" spans="1:5" x14ac:dyDescent="0.25">
      <c r="A2921" s="5">
        <f>2913</f>
      </c>
      <c r="B2921" s="5" t="s">
        <v>2699</v>
      </c>
      <c r="C2921" s="5" t="s">
        <v>11</v>
      </c>
      <c r="D2921" s="5" t="s">
        <v>12</v>
      </c>
      <c r="E2921" s="5" t="s">
        <v>726</v>
      </c>
    </row>
    <row r="2922" spans="1:5" x14ac:dyDescent="0.25">
      <c r="A2922" s="5">
        <f>2914</f>
      </c>
      <c r="B2922" s="5" t="s">
        <v>2699</v>
      </c>
      <c r="C2922" s="5" t="s">
        <v>11</v>
      </c>
      <c r="D2922" s="5" t="s">
        <v>12</v>
      </c>
      <c r="E2922" s="5" t="s">
        <v>726</v>
      </c>
    </row>
    <row r="2923" spans="1:5" x14ac:dyDescent="0.25">
      <c r="A2923" s="5">
        <f>2915</f>
      </c>
      <c r="B2923" s="5" t="s">
        <v>2700</v>
      </c>
      <c r="C2923" s="5" t="s">
        <v>11</v>
      </c>
      <c r="D2923" s="5" t="s">
        <v>12</v>
      </c>
      <c r="E2923" s="5" t="s">
        <v>726</v>
      </c>
    </row>
    <row r="2924" spans="1:5" x14ac:dyDescent="0.25">
      <c r="A2924" s="5">
        <f>2916</f>
      </c>
      <c r="B2924" s="5" t="s">
        <v>2700</v>
      </c>
      <c r="C2924" s="5" t="s">
        <v>11</v>
      </c>
      <c r="D2924" s="5" t="s">
        <v>12</v>
      </c>
      <c r="E2924" s="5" t="s">
        <v>726</v>
      </c>
    </row>
    <row r="2925" spans="1:5" x14ac:dyDescent="0.25">
      <c r="A2925" s="5">
        <f>2917</f>
      </c>
      <c r="B2925" s="5" t="s">
        <v>2701</v>
      </c>
      <c r="C2925" s="5" t="s">
        <v>11</v>
      </c>
      <c r="D2925" s="5" t="s">
        <v>12</v>
      </c>
      <c r="E2925" s="5" t="s">
        <v>726</v>
      </c>
    </row>
    <row r="2926" spans="1:5" x14ac:dyDescent="0.25">
      <c r="A2926" s="5">
        <f>2918</f>
      </c>
      <c r="B2926" s="5" t="s">
        <v>2701</v>
      </c>
      <c r="C2926" s="5" t="s">
        <v>11</v>
      </c>
      <c r="D2926" s="5" t="s">
        <v>12</v>
      </c>
      <c r="E2926" s="5" t="s">
        <v>726</v>
      </c>
    </row>
    <row r="2927" spans="1:5" x14ac:dyDescent="0.25">
      <c r="A2927" s="5">
        <f>2919</f>
      </c>
      <c r="B2927" s="5" t="s">
        <v>2702</v>
      </c>
      <c r="C2927" s="5" t="s">
        <v>11</v>
      </c>
      <c r="D2927" s="5" t="s">
        <v>12</v>
      </c>
      <c r="E2927" s="5" t="s">
        <v>726</v>
      </c>
    </row>
    <row r="2928" spans="1:5" x14ac:dyDescent="0.25">
      <c r="A2928" s="5">
        <f>2920</f>
      </c>
      <c r="B2928" s="5" t="s">
        <v>2702</v>
      </c>
      <c r="C2928" s="5" t="s">
        <v>11</v>
      </c>
      <c r="D2928" s="5" t="s">
        <v>12</v>
      </c>
      <c r="E2928" s="5" t="s">
        <v>726</v>
      </c>
    </row>
    <row r="2929" spans="1:5" x14ac:dyDescent="0.25">
      <c r="A2929" s="5">
        <f>2921</f>
      </c>
      <c r="B2929" s="5" t="s">
        <v>2703</v>
      </c>
      <c r="C2929" s="5" t="s">
        <v>11</v>
      </c>
      <c r="D2929" s="5" t="s">
        <v>12</v>
      </c>
      <c r="E2929" s="5" t="s">
        <v>726</v>
      </c>
    </row>
    <row r="2930" spans="1:5" x14ac:dyDescent="0.25">
      <c r="A2930" s="5">
        <f>2922</f>
      </c>
      <c r="B2930" s="5" t="s">
        <v>2703</v>
      </c>
      <c r="C2930" s="5" t="s">
        <v>11</v>
      </c>
      <c r="D2930" s="5" t="s">
        <v>12</v>
      </c>
      <c r="E2930" s="5" t="s">
        <v>726</v>
      </c>
    </row>
    <row r="2931" spans="1:5" x14ac:dyDescent="0.25">
      <c r="A2931" s="5">
        <f>2923</f>
      </c>
      <c r="B2931" s="5" t="s">
        <v>2704</v>
      </c>
      <c r="C2931" s="5" t="s">
        <v>11</v>
      </c>
      <c r="D2931" s="5" t="s">
        <v>12</v>
      </c>
      <c r="E2931" s="5" t="s">
        <v>726</v>
      </c>
    </row>
    <row r="2932" spans="1:5" x14ac:dyDescent="0.25">
      <c r="A2932" s="5">
        <f>2924</f>
      </c>
      <c r="B2932" s="5" t="s">
        <v>2704</v>
      </c>
      <c r="C2932" s="5" t="s">
        <v>11</v>
      </c>
      <c r="D2932" s="5" t="s">
        <v>12</v>
      </c>
      <c r="E2932" s="5" t="s">
        <v>726</v>
      </c>
    </row>
    <row r="2933" spans="1:5" x14ac:dyDescent="0.25">
      <c r="A2933" s="5">
        <f>2925</f>
      </c>
      <c r="B2933" s="5" t="s">
        <v>2705</v>
      </c>
      <c r="C2933" s="5" t="s">
        <v>11</v>
      </c>
      <c r="D2933" s="5" t="s">
        <v>12</v>
      </c>
      <c r="E2933" s="5" t="s">
        <v>726</v>
      </c>
    </row>
    <row r="2934" spans="1:5" x14ac:dyDescent="0.25">
      <c r="A2934" s="5">
        <f>2926</f>
      </c>
      <c r="B2934" s="5" t="s">
        <v>2705</v>
      </c>
      <c r="C2934" s="5" t="s">
        <v>11</v>
      </c>
      <c r="D2934" s="5" t="s">
        <v>12</v>
      </c>
      <c r="E2934" s="5" t="s">
        <v>726</v>
      </c>
    </row>
    <row r="2935" spans="1:5" x14ac:dyDescent="0.25">
      <c r="A2935" s="5">
        <f>2927</f>
      </c>
      <c r="B2935" s="5" t="s">
        <v>2706</v>
      </c>
      <c r="C2935" s="5" t="s">
        <v>11</v>
      </c>
      <c r="D2935" s="5" t="s">
        <v>12</v>
      </c>
      <c r="E2935" s="5" t="s">
        <v>726</v>
      </c>
    </row>
    <row r="2936" spans="1:5" x14ac:dyDescent="0.25">
      <c r="A2936" s="5">
        <f>2928</f>
      </c>
      <c r="B2936" s="5" t="s">
        <v>2706</v>
      </c>
      <c r="C2936" s="5" t="s">
        <v>11</v>
      </c>
      <c r="D2936" s="5" t="s">
        <v>12</v>
      </c>
      <c r="E2936" s="5" t="s">
        <v>726</v>
      </c>
    </row>
    <row r="2937" spans="1:5" x14ac:dyDescent="0.25">
      <c r="A2937" s="5">
        <f>2929</f>
      </c>
      <c r="B2937" s="5" t="s">
        <v>2707</v>
      </c>
      <c r="C2937" s="5" t="s">
        <v>11</v>
      </c>
      <c r="D2937" s="5" t="s">
        <v>12</v>
      </c>
      <c r="E2937" s="5" t="s">
        <v>726</v>
      </c>
    </row>
    <row r="2938" spans="1:5" x14ac:dyDescent="0.25">
      <c r="A2938" s="5">
        <f>2930</f>
      </c>
      <c r="B2938" s="5" t="s">
        <v>2707</v>
      </c>
      <c r="C2938" s="5" t="s">
        <v>11</v>
      </c>
      <c r="D2938" s="5" t="s">
        <v>12</v>
      </c>
      <c r="E2938" s="5" t="s">
        <v>726</v>
      </c>
    </row>
    <row r="2939" spans="1:5" x14ac:dyDescent="0.25">
      <c r="A2939" s="5">
        <f>2931</f>
      </c>
      <c r="B2939" s="5" t="s">
        <v>2708</v>
      </c>
      <c r="C2939" s="5" t="s">
        <v>11</v>
      </c>
      <c r="D2939" s="5" t="s">
        <v>12</v>
      </c>
      <c r="E2939" s="5" t="s">
        <v>726</v>
      </c>
    </row>
    <row r="2940" spans="1:5" x14ac:dyDescent="0.25">
      <c r="A2940" s="5">
        <f>2932</f>
      </c>
      <c r="B2940" s="5" t="s">
        <v>2708</v>
      </c>
      <c r="C2940" s="5" t="s">
        <v>11</v>
      </c>
      <c r="D2940" s="5" t="s">
        <v>12</v>
      </c>
      <c r="E2940" s="5" t="s">
        <v>726</v>
      </c>
    </row>
    <row r="2941" spans="1:5" x14ac:dyDescent="0.25">
      <c r="A2941" s="5">
        <f>2933</f>
      </c>
      <c r="B2941" s="5" t="s">
        <v>2709</v>
      </c>
      <c r="C2941" s="5" t="s">
        <v>11</v>
      </c>
      <c r="D2941" s="5" t="s">
        <v>12</v>
      </c>
      <c r="E2941" s="5" t="s">
        <v>726</v>
      </c>
    </row>
    <row r="2942" spans="1:5" x14ac:dyDescent="0.25">
      <c r="A2942" s="5">
        <f>2934</f>
      </c>
      <c r="B2942" s="5" t="s">
        <v>2709</v>
      </c>
      <c r="C2942" s="5" t="s">
        <v>11</v>
      </c>
      <c r="D2942" s="5" t="s">
        <v>12</v>
      </c>
      <c r="E2942" s="5" t="s">
        <v>726</v>
      </c>
    </row>
    <row r="2943" spans="1:5" x14ac:dyDescent="0.25">
      <c r="A2943" s="5">
        <f>2935</f>
      </c>
      <c r="B2943" s="5" t="s">
        <v>2710</v>
      </c>
      <c r="C2943" s="5" t="s">
        <v>11</v>
      </c>
      <c r="D2943" s="5" t="s">
        <v>12</v>
      </c>
      <c r="E2943" s="5" t="s">
        <v>726</v>
      </c>
    </row>
    <row r="2944" spans="1:5" x14ac:dyDescent="0.25">
      <c r="A2944" s="5">
        <f>2936</f>
      </c>
      <c r="B2944" s="5" t="s">
        <v>2710</v>
      </c>
      <c r="C2944" s="5" t="s">
        <v>11</v>
      </c>
      <c r="D2944" s="5" t="s">
        <v>12</v>
      </c>
      <c r="E2944" s="5" t="s">
        <v>726</v>
      </c>
    </row>
    <row r="2945" spans="1:5" x14ac:dyDescent="0.25">
      <c r="A2945" s="5">
        <f>2937</f>
      </c>
      <c r="B2945" s="5" t="s">
        <v>2711</v>
      </c>
      <c r="C2945" s="5" t="s">
        <v>11</v>
      </c>
      <c r="D2945" s="5" t="s">
        <v>12</v>
      </c>
      <c r="E2945" s="5" t="s">
        <v>726</v>
      </c>
    </row>
    <row r="2946" spans="1:5" x14ac:dyDescent="0.25">
      <c r="A2946" s="5">
        <f>2938</f>
      </c>
      <c r="B2946" s="5" t="s">
        <v>2711</v>
      </c>
      <c r="C2946" s="5" t="s">
        <v>11</v>
      </c>
      <c r="D2946" s="5" t="s">
        <v>12</v>
      </c>
      <c r="E2946" s="5" t="s">
        <v>726</v>
      </c>
    </row>
    <row r="2947" spans="1:5" x14ac:dyDescent="0.25">
      <c r="A2947" s="5">
        <f>2939</f>
      </c>
      <c r="B2947" s="5" t="s">
        <v>2712</v>
      </c>
      <c r="C2947" s="5" t="s">
        <v>11</v>
      </c>
      <c r="D2947" s="5" t="s">
        <v>12</v>
      </c>
      <c r="E2947" s="5" t="s">
        <v>726</v>
      </c>
    </row>
    <row r="2948" spans="1:5" x14ac:dyDescent="0.25">
      <c r="A2948" s="5">
        <f>2940</f>
      </c>
      <c r="B2948" s="5" t="s">
        <v>2712</v>
      </c>
      <c r="C2948" s="5" t="s">
        <v>11</v>
      </c>
      <c r="D2948" s="5" t="s">
        <v>12</v>
      </c>
      <c r="E2948" s="5" t="s">
        <v>726</v>
      </c>
    </row>
    <row r="2949" spans="1:5" x14ac:dyDescent="0.25">
      <c r="A2949" s="5">
        <f>2941</f>
      </c>
      <c r="B2949" s="5" t="s">
        <v>2713</v>
      </c>
      <c r="C2949" s="5" t="s">
        <v>11</v>
      </c>
      <c r="D2949" s="5" t="s">
        <v>12</v>
      </c>
      <c r="E2949" s="5" t="s">
        <v>726</v>
      </c>
    </row>
    <row r="2950" spans="1:5" x14ac:dyDescent="0.25">
      <c r="A2950" s="5">
        <f>2942</f>
      </c>
      <c r="B2950" s="5" t="s">
        <v>2713</v>
      </c>
      <c r="C2950" s="5" t="s">
        <v>11</v>
      </c>
      <c r="D2950" s="5" t="s">
        <v>12</v>
      </c>
      <c r="E2950" s="5" t="s">
        <v>726</v>
      </c>
    </row>
    <row r="2951" spans="1:5" x14ac:dyDescent="0.25">
      <c r="A2951" s="5">
        <f>2943</f>
      </c>
      <c r="B2951" s="5" t="s">
        <v>2714</v>
      </c>
      <c r="C2951" s="5" t="s">
        <v>11</v>
      </c>
      <c r="D2951" s="5" t="s">
        <v>12</v>
      </c>
      <c r="E2951" s="5" t="s">
        <v>726</v>
      </c>
    </row>
    <row r="2952" spans="1:5" x14ac:dyDescent="0.25">
      <c r="A2952" s="5">
        <f>2944</f>
      </c>
      <c r="B2952" s="5" t="s">
        <v>2714</v>
      </c>
      <c r="C2952" s="5" t="s">
        <v>11</v>
      </c>
      <c r="D2952" s="5" t="s">
        <v>12</v>
      </c>
      <c r="E2952" s="5" t="s">
        <v>726</v>
      </c>
    </row>
    <row r="2953" spans="1:5" x14ac:dyDescent="0.25">
      <c r="A2953" s="5">
        <f>2945</f>
      </c>
      <c r="B2953" s="5" t="s">
        <v>2715</v>
      </c>
      <c r="C2953" s="5" t="s">
        <v>11</v>
      </c>
      <c r="D2953" s="5" t="s">
        <v>12</v>
      </c>
      <c r="E2953" s="5" t="s">
        <v>726</v>
      </c>
    </row>
    <row r="2954" spans="1:5" x14ac:dyDescent="0.25">
      <c r="A2954" s="5">
        <f>2946</f>
      </c>
      <c r="B2954" s="5" t="s">
        <v>2715</v>
      </c>
      <c r="C2954" s="5" t="s">
        <v>11</v>
      </c>
      <c r="D2954" s="5" t="s">
        <v>12</v>
      </c>
      <c r="E2954" s="5" t="s">
        <v>726</v>
      </c>
    </row>
    <row r="2955" spans="1:5" x14ac:dyDescent="0.25">
      <c r="A2955" s="5">
        <f>2947</f>
      </c>
      <c r="B2955" s="5" t="s">
        <v>2716</v>
      </c>
      <c r="C2955" s="5" t="s">
        <v>11</v>
      </c>
      <c r="D2955" s="5" t="s">
        <v>12</v>
      </c>
      <c r="E2955" s="5" t="s">
        <v>726</v>
      </c>
    </row>
    <row r="2956" spans="1:5" x14ac:dyDescent="0.25">
      <c r="A2956" s="5">
        <f>2948</f>
      </c>
      <c r="B2956" s="5" t="s">
        <v>2716</v>
      </c>
      <c r="C2956" s="5" t="s">
        <v>11</v>
      </c>
      <c r="D2956" s="5" t="s">
        <v>12</v>
      </c>
      <c r="E2956" s="5" t="s">
        <v>726</v>
      </c>
    </row>
    <row r="2957" spans="1:5" x14ac:dyDescent="0.25">
      <c r="A2957" s="5">
        <f>2949</f>
      </c>
      <c r="B2957" s="5" t="s">
        <v>2717</v>
      </c>
      <c r="C2957" s="5" t="s">
        <v>11</v>
      </c>
      <c r="D2957" s="5" t="s">
        <v>12</v>
      </c>
      <c r="E2957" s="5" t="s">
        <v>726</v>
      </c>
    </row>
    <row r="2958" spans="1:5" x14ac:dyDescent="0.25">
      <c r="A2958" s="5">
        <f>2950</f>
      </c>
      <c r="B2958" s="5" t="s">
        <v>2717</v>
      </c>
      <c r="C2958" s="5" t="s">
        <v>11</v>
      </c>
      <c r="D2958" s="5" t="s">
        <v>12</v>
      </c>
      <c r="E2958" s="5" t="s">
        <v>726</v>
      </c>
    </row>
    <row r="2959" spans="1:5" x14ac:dyDescent="0.25">
      <c r="A2959" s="5">
        <f>2951</f>
      </c>
      <c r="B2959" s="5" t="s">
        <v>2718</v>
      </c>
      <c r="C2959" s="5" t="s">
        <v>11</v>
      </c>
      <c r="D2959" s="5" t="s">
        <v>12</v>
      </c>
      <c r="E2959" s="5" t="s">
        <v>726</v>
      </c>
    </row>
    <row r="2960" spans="1:5" x14ac:dyDescent="0.25">
      <c r="A2960" s="5">
        <f>2952</f>
      </c>
      <c r="B2960" s="5" t="s">
        <v>2718</v>
      </c>
      <c r="C2960" s="5" t="s">
        <v>11</v>
      </c>
      <c r="D2960" s="5" t="s">
        <v>12</v>
      </c>
      <c r="E2960" s="5" t="s">
        <v>726</v>
      </c>
    </row>
    <row r="2961" spans="1:5" x14ac:dyDescent="0.25">
      <c r="A2961" s="5">
        <f>2953</f>
      </c>
      <c r="B2961" s="5" t="s">
        <v>2719</v>
      </c>
      <c r="C2961" s="5" t="s">
        <v>11</v>
      </c>
      <c r="D2961" s="5" t="s">
        <v>12</v>
      </c>
      <c r="E2961" s="5" t="s">
        <v>726</v>
      </c>
    </row>
    <row r="2962" spans="1:5" x14ac:dyDescent="0.25">
      <c r="A2962" s="5">
        <f>2954</f>
      </c>
      <c r="B2962" s="5" t="s">
        <v>2719</v>
      </c>
      <c r="C2962" s="5" t="s">
        <v>11</v>
      </c>
      <c r="D2962" s="5" t="s">
        <v>12</v>
      </c>
      <c r="E2962" s="5" t="s">
        <v>726</v>
      </c>
    </row>
    <row r="2963" spans="1:5" x14ac:dyDescent="0.25">
      <c r="A2963" s="5">
        <f>2955</f>
      </c>
      <c r="B2963" s="5" t="s">
        <v>2720</v>
      </c>
      <c r="C2963" s="5" t="s">
        <v>11</v>
      </c>
      <c r="D2963" s="5" t="s">
        <v>12</v>
      </c>
      <c r="E2963" s="5" t="s">
        <v>726</v>
      </c>
    </row>
    <row r="2964" spans="1:5" x14ac:dyDescent="0.25">
      <c r="A2964" s="5">
        <f>2956</f>
      </c>
      <c r="B2964" s="5" t="s">
        <v>2720</v>
      </c>
      <c r="C2964" s="5" t="s">
        <v>11</v>
      </c>
      <c r="D2964" s="5" t="s">
        <v>12</v>
      </c>
      <c r="E2964" s="5" t="s">
        <v>726</v>
      </c>
    </row>
    <row r="2965" spans="1:5" x14ac:dyDescent="0.25">
      <c r="A2965" s="5">
        <f>2957</f>
      </c>
      <c r="B2965" s="5" t="s">
        <v>2721</v>
      </c>
      <c r="C2965" s="5" t="s">
        <v>11</v>
      </c>
      <c r="D2965" s="5" t="s">
        <v>12</v>
      </c>
      <c r="E2965" s="5" t="s">
        <v>726</v>
      </c>
    </row>
    <row r="2966" spans="1:5" x14ac:dyDescent="0.25">
      <c r="A2966" s="5">
        <f>2958</f>
      </c>
      <c r="B2966" s="5" t="s">
        <v>2721</v>
      </c>
      <c r="C2966" s="5" t="s">
        <v>11</v>
      </c>
      <c r="D2966" s="5" t="s">
        <v>12</v>
      </c>
      <c r="E2966" s="5" t="s">
        <v>726</v>
      </c>
    </row>
    <row r="2967" spans="1:5" x14ac:dyDescent="0.25">
      <c r="A2967" s="5">
        <f>2959</f>
      </c>
      <c r="B2967" s="5" t="s">
        <v>2722</v>
      </c>
      <c r="C2967" s="5" t="s">
        <v>11</v>
      </c>
      <c r="D2967" s="5" t="s">
        <v>12</v>
      </c>
      <c r="E2967" s="5" t="s">
        <v>726</v>
      </c>
    </row>
    <row r="2968" spans="1:5" x14ac:dyDescent="0.25">
      <c r="A2968" s="5">
        <f>2960</f>
      </c>
      <c r="B2968" s="5" t="s">
        <v>2722</v>
      </c>
      <c r="C2968" s="5" t="s">
        <v>11</v>
      </c>
      <c r="D2968" s="5" t="s">
        <v>12</v>
      </c>
      <c r="E2968" s="5" t="s">
        <v>726</v>
      </c>
    </row>
    <row r="2969" spans="1:5" x14ac:dyDescent="0.25">
      <c r="A2969" s="5">
        <f>2961</f>
      </c>
      <c r="B2969" s="5" t="s">
        <v>2723</v>
      </c>
      <c r="C2969" s="5" t="s">
        <v>11</v>
      </c>
      <c r="D2969" s="5" t="s">
        <v>12</v>
      </c>
      <c r="E2969" s="5" t="s">
        <v>726</v>
      </c>
    </row>
    <row r="2970" spans="1:5" x14ac:dyDescent="0.25">
      <c r="A2970" s="5">
        <f>2962</f>
      </c>
      <c r="B2970" s="5" t="s">
        <v>2723</v>
      </c>
      <c r="C2970" s="5" t="s">
        <v>11</v>
      </c>
      <c r="D2970" s="5" t="s">
        <v>12</v>
      </c>
      <c r="E2970" s="5" t="s">
        <v>726</v>
      </c>
    </row>
    <row r="2971" spans="1:5" x14ac:dyDescent="0.25">
      <c r="A2971" s="5">
        <f>2963</f>
      </c>
      <c r="B2971" s="5" t="s">
        <v>2724</v>
      </c>
      <c r="C2971" s="5" t="s">
        <v>11</v>
      </c>
      <c r="D2971" s="5" t="s">
        <v>12</v>
      </c>
      <c r="E2971" s="5" t="s">
        <v>726</v>
      </c>
    </row>
    <row r="2972" spans="1:5" x14ac:dyDescent="0.25">
      <c r="A2972" s="5">
        <f>2964</f>
      </c>
      <c r="B2972" s="5" t="s">
        <v>2724</v>
      </c>
      <c r="C2972" s="5" t="s">
        <v>11</v>
      </c>
      <c r="D2972" s="5" t="s">
        <v>12</v>
      </c>
      <c r="E2972" s="5" t="s">
        <v>726</v>
      </c>
    </row>
    <row r="2973" spans="1:5" x14ac:dyDescent="0.25">
      <c r="A2973" s="5">
        <f>2965</f>
      </c>
      <c r="B2973" s="5" t="s">
        <v>2725</v>
      </c>
      <c r="C2973" s="5" t="s">
        <v>11</v>
      </c>
      <c r="D2973" s="5" t="s">
        <v>12</v>
      </c>
      <c r="E2973" s="5" t="s">
        <v>726</v>
      </c>
    </row>
    <row r="2974" spans="1:5" x14ac:dyDescent="0.25">
      <c r="A2974" s="5">
        <f>2966</f>
      </c>
      <c r="B2974" s="5" t="s">
        <v>2725</v>
      </c>
      <c r="C2974" s="5" t="s">
        <v>11</v>
      </c>
      <c r="D2974" s="5" t="s">
        <v>12</v>
      </c>
      <c r="E2974" s="5" t="s">
        <v>726</v>
      </c>
    </row>
    <row r="2975" spans="1:5" x14ac:dyDescent="0.25">
      <c r="A2975" s="5">
        <f>2967</f>
      </c>
      <c r="B2975" s="5" t="s">
        <v>2726</v>
      </c>
      <c r="C2975" s="5" t="s">
        <v>11</v>
      </c>
      <c r="D2975" s="5" t="s">
        <v>12</v>
      </c>
      <c r="E2975" s="5" t="s">
        <v>726</v>
      </c>
    </row>
    <row r="2976" spans="1:5" x14ac:dyDescent="0.25">
      <c r="A2976" s="5">
        <f>2968</f>
      </c>
      <c r="B2976" s="5" t="s">
        <v>2726</v>
      </c>
      <c r="C2976" s="5" t="s">
        <v>11</v>
      </c>
      <c r="D2976" s="5" t="s">
        <v>12</v>
      </c>
      <c r="E2976" s="5" t="s">
        <v>726</v>
      </c>
    </row>
    <row r="2977" spans="1:5" x14ac:dyDescent="0.25">
      <c r="A2977" s="5">
        <f>2969</f>
      </c>
      <c r="B2977" s="5" t="s">
        <v>2727</v>
      </c>
      <c r="C2977" s="5" t="s">
        <v>11</v>
      </c>
      <c r="D2977" s="5" t="s">
        <v>12</v>
      </c>
      <c r="E2977" s="5" t="s">
        <v>726</v>
      </c>
    </row>
    <row r="2978" spans="1:5" x14ac:dyDescent="0.25">
      <c r="A2978" s="5">
        <f>2970</f>
      </c>
      <c r="B2978" s="5" t="s">
        <v>2727</v>
      </c>
      <c r="C2978" s="5" t="s">
        <v>11</v>
      </c>
      <c r="D2978" s="5" t="s">
        <v>12</v>
      </c>
      <c r="E2978" s="5" t="s">
        <v>726</v>
      </c>
    </row>
    <row r="2979" spans="1:5" x14ac:dyDescent="0.25">
      <c r="A2979" s="5">
        <f>2971</f>
      </c>
      <c r="B2979" s="5" t="s">
        <v>2728</v>
      </c>
      <c r="C2979" s="5" t="s">
        <v>11</v>
      </c>
      <c r="D2979" s="5" t="s">
        <v>12</v>
      </c>
      <c r="E2979" s="5" t="s">
        <v>726</v>
      </c>
    </row>
    <row r="2980" spans="1:5" x14ac:dyDescent="0.25">
      <c r="A2980" s="5">
        <f>2972</f>
      </c>
      <c r="B2980" s="5" t="s">
        <v>2728</v>
      </c>
      <c r="C2980" s="5" t="s">
        <v>11</v>
      </c>
      <c r="D2980" s="5" t="s">
        <v>12</v>
      </c>
      <c r="E2980" s="5" t="s">
        <v>726</v>
      </c>
    </row>
    <row r="2981" spans="1:5" x14ac:dyDescent="0.25">
      <c r="A2981" s="5">
        <f>2973</f>
      </c>
      <c r="B2981" s="5" t="s">
        <v>2729</v>
      </c>
      <c r="C2981" s="5" t="s">
        <v>11</v>
      </c>
      <c r="D2981" s="5" t="s">
        <v>12</v>
      </c>
      <c r="E2981" s="5" t="s">
        <v>726</v>
      </c>
    </row>
    <row r="2982" spans="1:5" x14ac:dyDescent="0.25">
      <c r="A2982" s="5">
        <f>2974</f>
      </c>
      <c r="B2982" s="5" t="s">
        <v>2729</v>
      </c>
      <c r="C2982" s="5" t="s">
        <v>11</v>
      </c>
      <c r="D2982" s="5" t="s">
        <v>12</v>
      </c>
      <c r="E2982" s="5" t="s">
        <v>726</v>
      </c>
    </row>
    <row r="2983" spans="1:5" x14ac:dyDescent="0.25">
      <c r="A2983" s="5">
        <f>2975</f>
      </c>
      <c r="B2983" s="5" t="s">
        <v>2730</v>
      </c>
      <c r="C2983" s="5" t="s">
        <v>11</v>
      </c>
      <c r="D2983" s="5" t="s">
        <v>12</v>
      </c>
      <c r="E2983" s="5" t="s">
        <v>726</v>
      </c>
    </row>
    <row r="2984" spans="1:5" x14ac:dyDescent="0.25">
      <c r="A2984" s="5">
        <f>2976</f>
      </c>
      <c r="B2984" s="5" t="s">
        <v>2730</v>
      </c>
      <c r="C2984" s="5" t="s">
        <v>11</v>
      </c>
      <c r="D2984" s="5" t="s">
        <v>12</v>
      </c>
      <c r="E2984" s="5" t="s">
        <v>726</v>
      </c>
    </row>
    <row r="2985" spans="1:5" x14ac:dyDescent="0.25">
      <c r="A2985" s="5">
        <f>2977</f>
      </c>
      <c r="B2985" s="5" t="s">
        <v>2731</v>
      </c>
      <c r="C2985" s="5" t="s">
        <v>11</v>
      </c>
      <c r="D2985" s="5" t="s">
        <v>12</v>
      </c>
      <c r="E2985" s="5" t="s">
        <v>726</v>
      </c>
    </row>
    <row r="2986" spans="1:5" x14ac:dyDescent="0.25">
      <c r="A2986" s="5">
        <f>2978</f>
      </c>
      <c r="B2986" s="5" t="s">
        <v>2731</v>
      </c>
      <c r="C2986" s="5" t="s">
        <v>11</v>
      </c>
      <c r="D2986" s="5" t="s">
        <v>12</v>
      </c>
      <c r="E2986" s="5" t="s">
        <v>726</v>
      </c>
    </row>
    <row r="2987" spans="1:5" x14ac:dyDescent="0.25">
      <c r="A2987" s="5">
        <f>2979</f>
      </c>
      <c r="B2987" s="5" t="s">
        <v>2732</v>
      </c>
      <c r="C2987" s="5" t="s">
        <v>11</v>
      </c>
      <c r="D2987" s="5" t="s">
        <v>12</v>
      </c>
      <c r="E2987" s="5" t="s">
        <v>726</v>
      </c>
    </row>
    <row r="2988" spans="1:5" x14ac:dyDescent="0.25">
      <c r="A2988" s="5">
        <f>2980</f>
      </c>
      <c r="B2988" s="5" t="s">
        <v>2732</v>
      </c>
      <c r="C2988" s="5" t="s">
        <v>11</v>
      </c>
      <c r="D2988" s="5" t="s">
        <v>12</v>
      </c>
      <c r="E2988" s="5" t="s">
        <v>726</v>
      </c>
    </row>
    <row r="2989" spans="1:5" x14ac:dyDescent="0.25">
      <c r="A2989" s="5">
        <f>2981</f>
      </c>
      <c r="B2989" s="5" t="s">
        <v>2733</v>
      </c>
      <c r="C2989" s="5" t="s">
        <v>11</v>
      </c>
      <c r="D2989" s="5" t="s">
        <v>12</v>
      </c>
      <c r="E2989" s="5" t="s">
        <v>726</v>
      </c>
    </row>
    <row r="2990" spans="1:5" x14ac:dyDescent="0.25">
      <c r="A2990" s="5">
        <f>2982</f>
      </c>
      <c r="B2990" s="5" t="s">
        <v>2733</v>
      </c>
      <c r="C2990" s="5" t="s">
        <v>11</v>
      </c>
      <c r="D2990" s="5" t="s">
        <v>12</v>
      </c>
      <c r="E2990" s="5" t="s">
        <v>726</v>
      </c>
    </row>
    <row r="2991" spans="1:5" x14ac:dyDescent="0.25">
      <c r="A2991" s="5">
        <f>2983</f>
      </c>
      <c r="B2991" s="5" t="s">
        <v>2734</v>
      </c>
      <c r="C2991" s="5" t="s">
        <v>11</v>
      </c>
      <c r="D2991" s="5" t="s">
        <v>12</v>
      </c>
      <c r="E2991" s="5" t="s">
        <v>726</v>
      </c>
    </row>
    <row r="2992" spans="1:5" x14ac:dyDescent="0.25">
      <c r="A2992" s="5">
        <f>2984</f>
      </c>
      <c r="B2992" s="5" t="s">
        <v>2734</v>
      </c>
      <c r="C2992" s="5" t="s">
        <v>11</v>
      </c>
      <c r="D2992" s="5" t="s">
        <v>12</v>
      </c>
      <c r="E2992" s="5" t="s">
        <v>726</v>
      </c>
    </row>
    <row r="2993" spans="1:5" x14ac:dyDescent="0.25">
      <c r="A2993" s="5">
        <f>2985</f>
      </c>
      <c r="B2993" s="5" t="s">
        <v>2735</v>
      </c>
      <c r="C2993" s="5" t="s">
        <v>11</v>
      </c>
      <c r="D2993" s="5" t="s">
        <v>12</v>
      </c>
      <c r="E2993" s="5" t="s">
        <v>726</v>
      </c>
    </row>
    <row r="2994" spans="1:5" x14ac:dyDescent="0.25">
      <c r="A2994" s="5">
        <f>2986</f>
      </c>
      <c r="B2994" s="5" t="s">
        <v>2735</v>
      </c>
      <c r="C2994" s="5" t="s">
        <v>11</v>
      </c>
      <c r="D2994" s="5" t="s">
        <v>12</v>
      </c>
      <c r="E2994" s="5" t="s">
        <v>726</v>
      </c>
    </row>
    <row r="2995" spans="1:5" x14ac:dyDescent="0.25">
      <c r="A2995" s="5">
        <f>2987</f>
      </c>
      <c r="B2995" s="5" t="s">
        <v>2736</v>
      </c>
      <c r="C2995" s="5" t="s">
        <v>11</v>
      </c>
      <c r="D2995" s="5" t="s">
        <v>12</v>
      </c>
      <c r="E2995" s="5" t="s">
        <v>726</v>
      </c>
    </row>
    <row r="2996" spans="1:5" x14ac:dyDescent="0.25">
      <c r="A2996" s="5">
        <f>2988</f>
      </c>
      <c r="B2996" s="5" t="s">
        <v>2736</v>
      </c>
      <c r="C2996" s="5" t="s">
        <v>11</v>
      </c>
      <c r="D2996" s="5" t="s">
        <v>12</v>
      </c>
      <c r="E2996" s="5" t="s">
        <v>726</v>
      </c>
    </row>
    <row r="2997" spans="1:5" x14ac:dyDescent="0.25">
      <c r="A2997" s="5">
        <f>2989</f>
      </c>
      <c r="B2997" s="5" t="s">
        <v>2737</v>
      </c>
      <c r="C2997" s="5" t="s">
        <v>11</v>
      </c>
      <c r="D2997" s="5" t="s">
        <v>12</v>
      </c>
      <c r="E2997" s="5" t="s">
        <v>726</v>
      </c>
    </row>
    <row r="2998" spans="1:5" x14ac:dyDescent="0.25">
      <c r="A2998" s="5">
        <f>2990</f>
      </c>
      <c r="B2998" s="5" t="s">
        <v>2737</v>
      </c>
      <c r="C2998" s="5" t="s">
        <v>11</v>
      </c>
      <c r="D2998" s="5" t="s">
        <v>12</v>
      </c>
      <c r="E2998" s="5" t="s">
        <v>726</v>
      </c>
    </row>
    <row r="2999" spans="1:5" x14ac:dyDescent="0.25">
      <c r="A2999" s="5">
        <f>2991</f>
      </c>
      <c r="B2999" s="5" t="s">
        <v>2738</v>
      </c>
      <c r="C2999" s="5" t="s">
        <v>11</v>
      </c>
      <c r="D2999" s="5" t="s">
        <v>12</v>
      </c>
      <c r="E2999" s="5" t="s">
        <v>726</v>
      </c>
    </row>
    <row r="3000" spans="1:5" x14ac:dyDescent="0.25">
      <c r="A3000" s="5">
        <f>2992</f>
      </c>
      <c r="B3000" s="5" t="s">
        <v>2738</v>
      </c>
      <c r="C3000" s="5" t="s">
        <v>11</v>
      </c>
      <c r="D3000" s="5" t="s">
        <v>12</v>
      </c>
      <c r="E3000" s="5" t="s">
        <v>726</v>
      </c>
    </row>
    <row r="3001" spans="1:5" x14ac:dyDescent="0.25">
      <c r="A3001" s="5">
        <f>2993</f>
      </c>
      <c r="B3001" s="5" t="s">
        <v>2739</v>
      </c>
      <c r="C3001" s="5" t="s">
        <v>11</v>
      </c>
      <c r="D3001" s="5" t="s">
        <v>12</v>
      </c>
      <c r="E3001" s="5" t="s">
        <v>726</v>
      </c>
    </row>
    <row r="3002" spans="1:5" x14ac:dyDescent="0.25">
      <c r="A3002" s="5">
        <f>2994</f>
      </c>
      <c r="B3002" s="5" t="s">
        <v>2739</v>
      </c>
      <c r="C3002" s="5" t="s">
        <v>11</v>
      </c>
      <c r="D3002" s="5" t="s">
        <v>12</v>
      </c>
      <c r="E3002" s="5" t="s">
        <v>726</v>
      </c>
    </row>
    <row r="3003" spans="1:5" x14ac:dyDescent="0.25">
      <c r="A3003" s="5">
        <f>2995</f>
      </c>
      <c r="B3003" s="5" t="s">
        <v>2740</v>
      </c>
      <c r="C3003" s="5" t="s">
        <v>11</v>
      </c>
      <c r="D3003" s="5" t="s">
        <v>12</v>
      </c>
      <c r="E3003" s="5" t="s">
        <v>726</v>
      </c>
    </row>
    <row r="3004" spans="1:5" x14ac:dyDescent="0.25">
      <c r="A3004" s="5">
        <f>2996</f>
      </c>
      <c r="B3004" s="5" t="s">
        <v>2740</v>
      </c>
      <c r="C3004" s="5" t="s">
        <v>11</v>
      </c>
      <c r="D3004" s="5" t="s">
        <v>12</v>
      </c>
      <c r="E3004" s="5" t="s">
        <v>726</v>
      </c>
    </row>
    <row r="3005" spans="1:5" x14ac:dyDescent="0.25">
      <c r="A3005" s="5">
        <f>2997</f>
      </c>
      <c r="B3005" s="5" t="s">
        <v>2741</v>
      </c>
      <c r="C3005" s="5" t="s">
        <v>11</v>
      </c>
      <c r="D3005" s="5" t="s">
        <v>12</v>
      </c>
      <c r="E3005" s="5" t="s">
        <v>726</v>
      </c>
    </row>
    <row r="3006" spans="1:5" x14ac:dyDescent="0.25">
      <c r="A3006" s="5">
        <f>2998</f>
      </c>
      <c r="B3006" s="5" t="s">
        <v>2741</v>
      </c>
      <c r="C3006" s="5" t="s">
        <v>11</v>
      </c>
      <c r="D3006" s="5" t="s">
        <v>12</v>
      </c>
      <c r="E3006" s="5" t="s">
        <v>726</v>
      </c>
    </row>
    <row r="3007" spans="1:5" x14ac:dyDescent="0.25">
      <c r="A3007" s="5">
        <f>2999</f>
      </c>
      <c r="B3007" s="5" t="s">
        <v>2742</v>
      </c>
      <c r="C3007" s="5" t="s">
        <v>11</v>
      </c>
      <c r="D3007" s="5" t="s">
        <v>12</v>
      </c>
      <c r="E3007" s="5" t="s">
        <v>726</v>
      </c>
    </row>
    <row r="3008" spans="1:5" x14ac:dyDescent="0.25">
      <c r="A3008" s="5">
        <f>3000</f>
      </c>
      <c r="B3008" s="5" t="s">
        <v>2742</v>
      </c>
      <c r="C3008" s="5" t="s">
        <v>11</v>
      </c>
      <c r="D3008" s="5" t="s">
        <v>12</v>
      </c>
      <c r="E3008" s="5" t="s">
        <v>726</v>
      </c>
    </row>
    <row r="3009" spans="1:5" x14ac:dyDescent="0.25">
      <c r="A3009" s="5">
        <f>3001</f>
      </c>
      <c r="B3009" s="5" t="s">
        <v>2743</v>
      </c>
      <c r="C3009" s="5" t="s">
        <v>11</v>
      </c>
      <c r="D3009" s="5" t="s">
        <v>12</v>
      </c>
      <c r="E3009" s="5" t="s">
        <v>726</v>
      </c>
    </row>
    <row r="3010" spans="1:5" x14ac:dyDescent="0.25">
      <c r="A3010" s="5">
        <f>3002</f>
      </c>
      <c r="B3010" s="5" t="s">
        <v>2743</v>
      </c>
      <c r="C3010" s="5" t="s">
        <v>11</v>
      </c>
      <c r="D3010" s="5" t="s">
        <v>12</v>
      </c>
      <c r="E3010" s="5" t="s">
        <v>726</v>
      </c>
    </row>
    <row r="3011" spans="1:5" x14ac:dyDescent="0.25">
      <c r="A3011" s="5">
        <f>3003</f>
      </c>
      <c r="B3011" s="5" t="s">
        <v>2744</v>
      </c>
      <c r="C3011" s="5" t="s">
        <v>11</v>
      </c>
      <c r="D3011" s="5" t="s">
        <v>12</v>
      </c>
      <c r="E3011" s="5" t="s">
        <v>726</v>
      </c>
    </row>
    <row r="3012" spans="1:5" x14ac:dyDescent="0.25">
      <c r="A3012" s="5">
        <f>3004</f>
      </c>
      <c r="B3012" s="5" t="s">
        <v>2744</v>
      </c>
      <c r="C3012" s="5" t="s">
        <v>11</v>
      </c>
      <c r="D3012" s="5" t="s">
        <v>12</v>
      </c>
      <c r="E3012" s="5" t="s">
        <v>726</v>
      </c>
    </row>
    <row r="3013" spans="1:5" x14ac:dyDescent="0.25">
      <c r="A3013" s="5">
        <f>3005</f>
      </c>
      <c r="B3013" s="5" t="s">
        <v>2745</v>
      </c>
      <c r="C3013" s="5" t="s">
        <v>11</v>
      </c>
      <c r="D3013" s="5" t="s">
        <v>12</v>
      </c>
      <c r="E3013" s="5" t="s">
        <v>726</v>
      </c>
    </row>
    <row r="3014" spans="1:5" x14ac:dyDescent="0.25">
      <c r="A3014" s="5">
        <f>3006</f>
      </c>
      <c r="B3014" s="5" t="s">
        <v>2745</v>
      </c>
      <c r="C3014" s="5" t="s">
        <v>11</v>
      </c>
      <c r="D3014" s="5" t="s">
        <v>12</v>
      </c>
      <c r="E3014" s="5" t="s">
        <v>726</v>
      </c>
    </row>
    <row r="3015" spans="1:5" x14ac:dyDescent="0.25">
      <c r="A3015" s="5">
        <f>3007</f>
      </c>
      <c r="B3015" s="5" t="s">
        <v>2746</v>
      </c>
      <c r="C3015" s="5" t="s">
        <v>11</v>
      </c>
      <c r="D3015" s="5" t="s">
        <v>12</v>
      </c>
      <c r="E3015" s="5" t="s">
        <v>726</v>
      </c>
    </row>
    <row r="3016" spans="1:5" x14ac:dyDescent="0.25">
      <c r="A3016" s="5">
        <f>3008</f>
      </c>
      <c r="B3016" s="5" t="s">
        <v>2746</v>
      </c>
      <c r="C3016" s="5" t="s">
        <v>11</v>
      </c>
      <c r="D3016" s="5" t="s">
        <v>12</v>
      </c>
      <c r="E3016" s="5" t="s">
        <v>726</v>
      </c>
    </row>
    <row r="3017" spans="1:5" x14ac:dyDescent="0.25">
      <c r="A3017" s="5">
        <f>3009</f>
      </c>
      <c r="B3017" s="5" t="s">
        <v>2747</v>
      </c>
      <c r="C3017" s="5" t="s">
        <v>11</v>
      </c>
      <c r="D3017" s="5" t="s">
        <v>12</v>
      </c>
      <c r="E3017" s="5" t="s">
        <v>726</v>
      </c>
    </row>
    <row r="3018" spans="1:5" x14ac:dyDescent="0.25">
      <c r="A3018" s="5">
        <f>3010</f>
      </c>
      <c r="B3018" s="5" t="s">
        <v>2747</v>
      </c>
      <c r="C3018" s="5" t="s">
        <v>11</v>
      </c>
      <c r="D3018" s="5" t="s">
        <v>12</v>
      </c>
      <c r="E3018" s="5" t="s">
        <v>726</v>
      </c>
    </row>
    <row r="3019" spans="1:5" x14ac:dyDescent="0.25">
      <c r="A3019" s="5">
        <f>3011</f>
      </c>
      <c r="B3019" s="5" t="s">
        <v>2748</v>
      </c>
      <c r="C3019" s="5" t="s">
        <v>11</v>
      </c>
      <c r="D3019" s="5" t="s">
        <v>12</v>
      </c>
      <c r="E3019" s="5" t="s">
        <v>726</v>
      </c>
    </row>
    <row r="3020" spans="1:5" x14ac:dyDescent="0.25">
      <c r="A3020" s="5">
        <f>3012</f>
      </c>
      <c r="B3020" s="5" t="s">
        <v>2748</v>
      </c>
      <c r="C3020" s="5" t="s">
        <v>11</v>
      </c>
      <c r="D3020" s="5" t="s">
        <v>12</v>
      </c>
      <c r="E3020" s="5" t="s">
        <v>726</v>
      </c>
    </row>
    <row r="3021" spans="1:5" x14ac:dyDescent="0.25">
      <c r="A3021" s="5">
        <f>3013</f>
      </c>
      <c r="B3021" s="5" t="s">
        <v>2749</v>
      </c>
      <c r="C3021" s="5" t="s">
        <v>11</v>
      </c>
      <c r="D3021" s="5" t="s">
        <v>12</v>
      </c>
      <c r="E3021" s="5" t="s">
        <v>726</v>
      </c>
    </row>
    <row r="3022" spans="1:5" x14ac:dyDescent="0.25">
      <c r="A3022" s="5">
        <f>3014</f>
      </c>
      <c r="B3022" s="5" t="s">
        <v>2749</v>
      </c>
      <c r="C3022" s="5" t="s">
        <v>11</v>
      </c>
      <c r="D3022" s="5" t="s">
        <v>12</v>
      </c>
      <c r="E3022" s="5" t="s">
        <v>726</v>
      </c>
    </row>
    <row r="3023" spans="1:5" x14ac:dyDescent="0.25">
      <c r="A3023" s="5">
        <f>3015</f>
      </c>
      <c r="B3023" s="5" t="s">
        <v>2750</v>
      </c>
      <c r="C3023" s="5" t="s">
        <v>11</v>
      </c>
      <c r="D3023" s="5" t="s">
        <v>12</v>
      </c>
      <c r="E3023" s="5" t="s">
        <v>726</v>
      </c>
    </row>
    <row r="3024" spans="1:5" x14ac:dyDescent="0.25">
      <c r="A3024" s="5">
        <f>3016</f>
      </c>
      <c r="B3024" s="5" t="s">
        <v>2750</v>
      </c>
      <c r="C3024" s="5" t="s">
        <v>11</v>
      </c>
      <c r="D3024" s="5" t="s">
        <v>12</v>
      </c>
      <c r="E3024" s="5" t="s">
        <v>726</v>
      </c>
    </row>
    <row r="3025" spans="1:5" x14ac:dyDescent="0.25">
      <c r="A3025" s="5">
        <f>3017</f>
      </c>
      <c r="B3025" s="5" t="s">
        <v>2751</v>
      </c>
      <c r="C3025" s="5" t="s">
        <v>11</v>
      </c>
      <c r="D3025" s="5" t="s">
        <v>12</v>
      </c>
      <c r="E3025" s="5" t="s">
        <v>726</v>
      </c>
    </row>
    <row r="3026" spans="1:5" x14ac:dyDescent="0.25">
      <c r="A3026" s="5">
        <f>3018</f>
      </c>
      <c r="B3026" s="5" t="s">
        <v>2751</v>
      </c>
      <c r="C3026" s="5" t="s">
        <v>11</v>
      </c>
      <c r="D3026" s="5" t="s">
        <v>12</v>
      </c>
      <c r="E3026" s="5" t="s">
        <v>726</v>
      </c>
    </row>
    <row r="3027" spans="1:5" x14ac:dyDescent="0.25">
      <c r="A3027" s="5">
        <f>3019</f>
      </c>
      <c r="B3027" s="5" t="s">
        <v>2752</v>
      </c>
      <c r="C3027" s="5" t="s">
        <v>11</v>
      </c>
      <c r="D3027" s="5" t="s">
        <v>12</v>
      </c>
      <c r="E3027" s="5" t="s">
        <v>726</v>
      </c>
    </row>
    <row r="3028" spans="1:5" x14ac:dyDescent="0.25">
      <c r="A3028" s="5">
        <f>3020</f>
      </c>
      <c r="B3028" s="5" t="s">
        <v>2752</v>
      </c>
      <c r="C3028" s="5" t="s">
        <v>11</v>
      </c>
      <c r="D3028" s="5" t="s">
        <v>12</v>
      </c>
      <c r="E3028" s="5" t="s">
        <v>726</v>
      </c>
    </row>
    <row r="3029" spans="1:5" x14ac:dyDescent="0.25">
      <c r="A3029" s="5">
        <f>3021</f>
      </c>
      <c r="B3029" s="5" t="s">
        <v>2753</v>
      </c>
      <c r="C3029" s="5" t="s">
        <v>11</v>
      </c>
      <c r="D3029" s="5" t="s">
        <v>12</v>
      </c>
      <c r="E3029" s="5" t="s">
        <v>2754</v>
      </c>
    </row>
    <row r="3030" spans="1:5" x14ac:dyDescent="0.25">
      <c r="A3030" s="5">
        <f>3022</f>
      </c>
      <c r="B3030" s="5" t="s">
        <v>2753</v>
      </c>
      <c r="C3030" s="5" t="s">
        <v>11</v>
      </c>
      <c r="D3030" s="5" t="s">
        <v>12</v>
      </c>
      <c r="E3030" s="5" t="s">
        <v>2754</v>
      </c>
    </row>
    <row r="3031" spans="1:5" x14ac:dyDescent="0.25">
      <c r="A3031" s="5">
        <f>3023</f>
      </c>
      <c r="B3031" s="5" t="s">
        <v>2755</v>
      </c>
      <c r="C3031" s="5" t="s">
        <v>11</v>
      </c>
      <c r="D3031" s="5" t="s">
        <v>12</v>
      </c>
      <c r="E3031" s="5" t="s">
        <v>2754</v>
      </c>
    </row>
    <row r="3032" spans="1:5" x14ac:dyDescent="0.25">
      <c r="A3032" s="5">
        <f>3024</f>
      </c>
      <c r="B3032" s="5" t="s">
        <v>2755</v>
      </c>
      <c r="C3032" s="5" t="s">
        <v>11</v>
      </c>
      <c r="D3032" s="5" t="s">
        <v>12</v>
      </c>
      <c r="E3032" s="5" t="s">
        <v>2754</v>
      </c>
    </row>
    <row r="3033" spans="1:5" x14ac:dyDescent="0.25">
      <c r="A3033" s="5">
        <f>3025</f>
      </c>
      <c r="B3033" s="5" t="s">
        <v>2756</v>
      </c>
      <c r="C3033" s="5" t="s">
        <v>11</v>
      </c>
      <c r="D3033" s="5" t="s">
        <v>12</v>
      </c>
      <c r="E3033" s="5" t="s">
        <v>2754</v>
      </c>
    </row>
    <row r="3034" spans="1:5" x14ac:dyDescent="0.25">
      <c r="A3034" s="5">
        <f>3026</f>
      </c>
      <c r="B3034" s="5" t="s">
        <v>2756</v>
      </c>
      <c r="C3034" s="5" t="s">
        <v>11</v>
      </c>
      <c r="D3034" s="5" t="s">
        <v>12</v>
      </c>
      <c r="E3034" s="5" t="s">
        <v>2754</v>
      </c>
    </row>
    <row r="3035" spans="1:5" x14ac:dyDescent="0.25">
      <c r="A3035" s="5">
        <f>3027</f>
      </c>
      <c r="B3035" s="5" t="s">
        <v>2757</v>
      </c>
      <c r="C3035" s="5" t="s">
        <v>11</v>
      </c>
      <c r="D3035" s="5" t="s">
        <v>12</v>
      </c>
      <c r="E3035" s="5" t="s">
        <v>2754</v>
      </c>
    </row>
    <row r="3036" spans="1:5" x14ac:dyDescent="0.25">
      <c r="A3036" s="5">
        <f>3028</f>
      </c>
      <c r="B3036" s="5" t="s">
        <v>2757</v>
      </c>
      <c r="C3036" s="5" t="s">
        <v>11</v>
      </c>
      <c r="D3036" s="5" t="s">
        <v>12</v>
      </c>
      <c r="E3036" s="5" t="s">
        <v>2754</v>
      </c>
    </row>
    <row r="3037" spans="1:5" x14ac:dyDescent="0.25">
      <c r="A3037" s="5">
        <f>3029</f>
      </c>
      <c r="B3037" s="5" t="s">
        <v>2758</v>
      </c>
      <c r="C3037" s="5" t="s">
        <v>11</v>
      </c>
      <c r="D3037" s="5" t="s">
        <v>12</v>
      </c>
      <c r="E3037" s="5" t="s">
        <v>2754</v>
      </c>
    </row>
    <row r="3038" spans="1:5" x14ac:dyDescent="0.25">
      <c r="A3038" s="5">
        <f>3030</f>
      </c>
      <c r="B3038" s="5" t="s">
        <v>2758</v>
      </c>
      <c r="C3038" s="5" t="s">
        <v>11</v>
      </c>
      <c r="D3038" s="5" t="s">
        <v>12</v>
      </c>
      <c r="E3038" s="5" t="s">
        <v>2754</v>
      </c>
    </row>
    <row r="3039" spans="1:5" x14ac:dyDescent="0.25">
      <c r="A3039" s="5">
        <f>3031</f>
      </c>
      <c r="B3039" s="5" t="s">
        <v>2759</v>
      </c>
      <c r="C3039" s="5" t="s">
        <v>11</v>
      </c>
      <c r="D3039" s="5" t="s">
        <v>12</v>
      </c>
      <c r="E3039" s="5" t="s">
        <v>2754</v>
      </c>
    </row>
    <row r="3040" spans="1:5" x14ac:dyDescent="0.25">
      <c r="A3040" s="5">
        <f>3032</f>
      </c>
      <c r="B3040" s="5" t="s">
        <v>2759</v>
      </c>
      <c r="C3040" s="5" t="s">
        <v>11</v>
      </c>
      <c r="D3040" s="5" t="s">
        <v>12</v>
      </c>
      <c r="E3040" s="5" t="s">
        <v>2754</v>
      </c>
    </row>
    <row r="3041" spans="1:5" x14ac:dyDescent="0.25">
      <c r="A3041" s="5">
        <f>3033</f>
      </c>
      <c r="B3041" s="5" t="s">
        <v>2760</v>
      </c>
      <c r="C3041" s="5" t="s">
        <v>11</v>
      </c>
      <c r="D3041" s="5" t="s">
        <v>12</v>
      </c>
      <c r="E3041" s="5" t="s">
        <v>2754</v>
      </c>
    </row>
    <row r="3042" spans="1:5" x14ac:dyDescent="0.25">
      <c r="A3042" s="5">
        <f>3034</f>
      </c>
      <c r="B3042" s="5" t="s">
        <v>2760</v>
      </c>
      <c r="C3042" s="5" t="s">
        <v>11</v>
      </c>
      <c r="D3042" s="5" t="s">
        <v>12</v>
      </c>
      <c r="E3042" s="5" t="s">
        <v>2754</v>
      </c>
    </row>
    <row r="3043" spans="1:5" x14ac:dyDescent="0.25">
      <c r="A3043" s="5">
        <f>3035</f>
      </c>
      <c r="B3043" s="5" t="s">
        <v>2761</v>
      </c>
      <c r="C3043" s="5" t="s">
        <v>11</v>
      </c>
      <c r="D3043" s="5" t="s">
        <v>12</v>
      </c>
      <c r="E3043" s="5" t="s">
        <v>2754</v>
      </c>
    </row>
    <row r="3044" spans="1:5" x14ac:dyDescent="0.25">
      <c r="A3044" s="5">
        <f>3036</f>
      </c>
      <c r="B3044" s="5" t="s">
        <v>2761</v>
      </c>
      <c r="C3044" s="5" t="s">
        <v>11</v>
      </c>
      <c r="D3044" s="5" t="s">
        <v>12</v>
      </c>
      <c r="E3044" s="5" t="s">
        <v>2754</v>
      </c>
    </row>
    <row r="3045" spans="1:5" x14ac:dyDescent="0.25">
      <c r="A3045" s="5">
        <f>3037</f>
      </c>
      <c r="B3045" s="5" t="s">
        <v>2762</v>
      </c>
      <c r="C3045" s="5" t="s">
        <v>11</v>
      </c>
      <c r="D3045" s="5" t="s">
        <v>12</v>
      </c>
      <c r="E3045" s="5" t="s">
        <v>2754</v>
      </c>
    </row>
    <row r="3046" spans="1:5" x14ac:dyDescent="0.25">
      <c r="A3046" s="5">
        <f>3038</f>
      </c>
      <c r="B3046" s="5" t="s">
        <v>2762</v>
      </c>
      <c r="C3046" s="5" t="s">
        <v>11</v>
      </c>
      <c r="D3046" s="5" t="s">
        <v>12</v>
      </c>
      <c r="E3046" s="5" t="s">
        <v>2754</v>
      </c>
    </row>
    <row r="3047" spans="1:5" x14ac:dyDescent="0.25">
      <c r="A3047" s="5">
        <f>3039</f>
      </c>
      <c r="B3047" s="5" t="s">
        <v>2763</v>
      </c>
      <c r="C3047" s="5" t="s">
        <v>11</v>
      </c>
      <c r="D3047" s="5" t="s">
        <v>12</v>
      </c>
      <c r="E3047" s="5" t="s">
        <v>2754</v>
      </c>
    </row>
    <row r="3048" spans="1:5" x14ac:dyDescent="0.25">
      <c r="A3048" s="5">
        <f>3040</f>
      </c>
      <c r="B3048" s="5" t="s">
        <v>2763</v>
      </c>
      <c r="C3048" s="5" t="s">
        <v>11</v>
      </c>
      <c r="D3048" s="5" t="s">
        <v>12</v>
      </c>
      <c r="E3048" s="5" t="s">
        <v>2754</v>
      </c>
    </row>
    <row r="3049" spans="1:5" x14ac:dyDescent="0.25">
      <c r="A3049" s="5">
        <f>3041</f>
      </c>
      <c r="B3049" s="5" t="s">
        <v>2764</v>
      </c>
      <c r="C3049" s="5" t="s">
        <v>11</v>
      </c>
      <c r="D3049" s="5" t="s">
        <v>12</v>
      </c>
      <c r="E3049" s="5" t="s">
        <v>2754</v>
      </c>
    </row>
    <row r="3050" spans="1:5" x14ac:dyDescent="0.25">
      <c r="A3050" s="5">
        <f>3042</f>
      </c>
      <c r="B3050" s="5" t="s">
        <v>2764</v>
      </c>
      <c r="C3050" s="5" t="s">
        <v>11</v>
      </c>
      <c r="D3050" s="5" t="s">
        <v>12</v>
      </c>
      <c r="E3050" s="5" t="s">
        <v>2754</v>
      </c>
    </row>
    <row r="3051" spans="1:5" x14ac:dyDescent="0.25">
      <c r="A3051" s="5">
        <f>3043</f>
      </c>
      <c r="B3051" s="5" t="s">
        <v>2765</v>
      </c>
      <c r="C3051" s="5" t="s">
        <v>11</v>
      </c>
      <c r="D3051" s="5" t="s">
        <v>12</v>
      </c>
      <c r="E3051" s="5" t="s">
        <v>2754</v>
      </c>
    </row>
    <row r="3052" spans="1:5" x14ac:dyDescent="0.25">
      <c r="A3052" s="5">
        <f>3044</f>
      </c>
      <c r="B3052" s="5" t="s">
        <v>2765</v>
      </c>
      <c r="C3052" s="5" t="s">
        <v>11</v>
      </c>
      <c r="D3052" s="5" t="s">
        <v>12</v>
      </c>
      <c r="E3052" s="5" t="s">
        <v>2754</v>
      </c>
    </row>
    <row r="3053" spans="1:5" x14ac:dyDescent="0.25">
      <c r="A3053" s="5">
        <f>3045</f>
      </c>
      <c r="B3053" s="5" t="s">
        <v>2766</v>
      </c>
      <c r="C3053" s="5" t="s">
        <v>11</v>
      </c>
      <c r="D3053" s="5" t="s">
        <v>12</v>
      </c>
      <c r="E3053" s="5" t="s">
        <v>2754</v>
      </c>
    </row>
    <row r="3054" spans="1:5" x14ac:dyDescent="0.25">
      <c r="A3054" s="5">
        <f>3046</f>
      </c>
      <c r="B3054" s="5" t="s">
        <v>2766</v>
      </c>
      <c r="C3054" s="5" t="s">
        <v>11</v>
      </c>
      <c r="D3054" s="5" t="s">
        <v>12</v>
      </c>
      <c r="E3054" s="5" t="s">
        <v>2754</v>
      </c>
    </row>
    <row r="3055" spans="1:5" x14ac:dyDescent="0.25">
      <c r="A3055" s="5">
        <f>3047</f>
      </c>
      <c r="B3055" s="5" t="s">
        <v>2767</v>
      </c>
      <c r="C3055" s="5" t="s">
        <v>11</v>
      </c>
      <c r="D3055" s="5" t="s">
        <v>12</v>
      </c>
      <c r="E3055" s="5" t="s">
        <v>2754</v>
      </c>
    </row>
    <row r="3056" spans="1:5" x14ac:dyDescent="0.25">
      <c r="A3056" s="5">
        <f>3048</f>
      </c>
      <c r="B3056" s="5" t="s">
        <v>2767</v>
      </c>
      <c r="C3056" s="5" t="s">
        <v>11</v>
      </c>
      <c r="D3056" s="5" t="s">
        <v>12</v>
      </c>
      <c r="E3056" s="5" t="s">
        <v>2754</v>
      </c>
    </row>
    <row r="3057" spans="1:5" x14ac:dyDescent="0.25">
      <c r="A3057" s="5">
        <f>3049</f>
      </c>
      <c r="B3057" s="5" t="s">
        <v>2768</v>
      </c>
      <c r="C3057" s="5" t="s">
        <v>11</v>
      </c>
      <c r="D3057" s="5" t="s">
        <v>12</v>
      </c>
      <c r="E3057" s="5" t="s">
        <v>2754</v>
      </c>
    </row>
    <row r="3058" spans="1:5" x14ac:dyDescent="0.25">
      <c r="A3058" s="5">
        <f>3050</f>
      </c>
      <c r="B3058" s="5" t="s">
        <v>2768</v>
      </c>
      <c r="C3058" s="5" t="s">
        <v>11</v>
      </c>
      <c r="D3058" s="5" t="s">
        <v>12</v>
      </c>
      <c r="E3058" s="5" t="s">
        <v>2754</v>
      </c>
    </row>
    <row r="3059" spans="1:5" x14ac:dyDescent="0.25">
      <c r="A3059" s="5">
        <f>3051</f>
      </c>
      <c r="B3059" s="5" t="s">
        <v>2769</v>
      </c>
      <c r="C3059" s="5" t="s">
        <v>11</v>
      </c>
      <c r="D3059" s="5" t="s">
        <v>12</v>
      </c>
      <c r="E3059" s="5" t="s">
        <v>2754</v>
      </c>
    </row>
    <row r="3060" spans="1:5" x14ac:dyDescent="0.25">
      <c r="A3060" s="5">
        <f>3052</f>
      </c>
      <c r="B3060" s="5" t="s">
        <v>2769</v>
      </c>
      <c r="C3060" s="5" t="s">
        <v>11</v>
      </c>
      <c r="D3060" s="5" t="s">
        <v>12</v>
      </c>
      <c r="E3060" s="5" t="s">
        <v>2754</v>
      </c>
    </row>
    <row r="3061" spans="1:5" x14ac:dyDescent="0.25">
      <c r="A3061" s="5">
        <f>3053</f>
      </c>
      <c r="B3061" s="5" t="s">
        <v>2770</v>
      </c>
      <c r="C3061" s="5" t="s">
        <v>11</v>
      </c>
      <c r="D3061" s="5" t="s">
        <v>12</v>
      </c>
      <c r="E3061" s="5" t="s">
        <v>2754</v>
      </c>
    </row>
    <row r="3062" spans="1:5" x14ac:dyDescent="0.25">
      <c r="A3062" s="5">
        <f>3054</f>
      </c>
      <c r="B3062" s="5" t="s">
        <v>2770</v>
      </c>
      <c r="C3062" s="5" t="s">
        <v>11</v>
      </c>
      <c r="D3062" s="5" t="s">
        <v>12</v>
      </c>
      <c r="E3062" s="5" t="s">
        <v>2754</v>
      </c>
    </row>
    <row r="3063" spans="1:5" x14ac:dyDescent="0.25">
      <c r="A3063" s="5">
        <f>3055</f>
      </c>
      <c r="B3063" s="5" t="s">
        <v>2771</v>
      </c>
      <c r="C3063" s="5" t="s">
        <v>11</v>
      </c>
      <c r="D3063" s="5" t="s">
        <v>12</v>
      </c>
      <c r="E3063" s="5" t="s">
        <v>2754</v>
      </c>
    </row>
    <row r="3064" spans="1:5" x14ac:dyDescent="0.25">
      <c r="A3064" s="5">
        <f>3056</f>
      </c>
      <c r="B3064" s="5" t="s">
        <v>2771</v>
      </c>
      <c r="C3064" s="5" t="s">
        <v>11</v>
      </c>
      <c r="D3064" s="5" t="s">
        <v>12</v>
      </c>
      <c r="E3064" s="5" t="s">
        <v>2754</v>
      </c>
    </row>
    <row r="3065" spans="1:5" x14ac:dyDescent="0.25">
      <c r="A3065" s="5">
        <f>3057</f>
      </c>
      <c r="B3065" s="5" t="s">
        <v>2772</v>
      </c>
      <c r="C3065" s="5" t="s">
        <v>11</v>
      </c>
      <c r="D3065" s="5" t="s">
        <v>12</v>
      </c>
      <c r="E3065" s="5" t="s">
        <v>2754</v>
      </c>
    </row>
    <row r="3066" spans="1:5" x14ac:dyDescent="0.25">
      <c r="A3066" s="5">
        <f>3058</f>
      </c>
      <c r="B3066" s="5" t="s">
        <v>2772</v>
      </c>
      <c r="C3066" s="5" t="s">
        <v>11</v>
      </c>
      <c r="D3066" s="5" t="s">
        <v>12</v>
      </c>
      <c r="E3066" s="5" t="s">
        <v>2754</v>
      </c>
    </row>
    <row r="3067" spans="1:5" x14ac:dyDescent="0.25">
      <c r="A3067" s="5">
        <f>3059</f>
      </c>
      <c r="B3067" s="5" t="s">
        <v>2773</v>
      </c>
      <c r="C3067" s="5" t="s">
        <v>11</v>
      </c>
      <c r="D3067" s="5" t="s">
        <v>12</v>
      </c>
      <c r="E3067" s="5" t="s">
        <v>2754</v>
      </c>
    </row>
    <row r="3068" spans="1:5" x14ac:dyDescent="0.25">
      <c r="A3068" s="5">
        <f>3060</f>
      </c>
      <c r="B3068" s="5" t="s">
        <v>2773</v>
      </c>
      <c r="C3068" s="5" t="s">
        <v>11</v>
      </c>
      <c r="D3068" s="5" t="s">
        <v>12</v>
      </c>
      <c r="E3068" s="5" t="s">
        <v>2754</v>
      </c>
    </row>
    <row r="3069" spans="1:5" x14ac:dyDescent="0.25">
      <c r="A3069" s="5">
        <f>3061</f>
      </c>
      <c r="B3069" s="5" t="s">
        <v>2774</v>
      </c>
      <c r="C3069" s="5" t="s">
        <v>11</v>
      </c>
      <c r="D3069" s="5" t="s">
        <v>12</v>
      </c>
      <c r="E3069" s="5" t="s">
        <v>2754</v>
      </c>
    </row>
    <row r="3070" spans="1:5" x14ac:dyDescent="0.25">
      <c r="A3070" s="5">
        <f>3062</f>
      </c>
      <c r="B3070" s="5" t="s">
        <v>2774</v>
      </c>
      <c r="C3070" s="5" t="s">
        <v>11</v>
      </c>
      <c r="D3070" s="5" t="s">
        <v>12</v>
      </c>
      <c r="E3070" s="5" t="s">
        <v>2754</v>
      </c>
    </row>
    <row r="3071" spans="1:5" x14ac:dyDescent="0.25">
      <c r="A3071" s="5">
        <f>3063</f>
      </c>
      <c r="B3071" s="5" t="s">
        <v>2775</v>
      </c>
      <c r="C3071" s="5" t="s">
        <v>11</v>
      </c>
      <c r="D3071" s="5" t="s">
        <v>12</v>
      </c>
      <c r="E3071" s="5" t="s">
        <v>2754</v>
      </c>
    </row>
    <row r="3072" spans="1:5" x14ac:dyDescent="0.25">
      <c r="A3072" s="5">
        <f>3064</f>
      </c>
      <c r="B3072" s="5" t="s">
        <v>2775</v>
      </c>
      <c r="C3072" s="5" t="s">
        <v>11</v>
      </c>
      <c r="D3072" s="5" t="s">
        <v>12</v>
      </c>
      <c r="E3072" s="5" t="s">
        <v>2754</v>
      </c>
    </row>
    <row r="3073" spans="1:5" x14ac:dyDescent="0.25">
      <c r="A3073" s="5">
        <f>3065</f>
      </c>
      <c r="B3073" s="5" t="s">
        <v>2776</v>
      </c>
      <c r="C3073" s="5" t="s">
        <v>11</v>
      </c>
      <c r="D3073" s="5" t="s">
        <v>12</v>
      </c>
      <c r="E3073" s="5" t="s">
        <v>2754</v>
      </c>
    </row>
    <row r="3074" spans="1:5" x14ac:dyDescent="0.25">
      <c r="A3074" s="5">
        <f>3066</f>
      </c>
      <c r="B3074" s="5" t="s">
        <v>2776</v>
      </c>
      <c r="C3074" s="5" t="s">
        <v>11</v>
      </c>
      <c r="D3074" s="5" t="s">
        <v>12</v>
      </c>
      <c r="E3074" s="5" t="s">
        <v>2754</v>
      </c>
    </row>
    <row r="3075" spans="1:5" x14ac:dyDescent="0.25">
      <c r="A3075" s="5">
        <f>3067</f>
      </c>
      <c r="B3075" s="5" t="s">
        <v>2777</v>
      </c>
      <c r="C3075" s="5" t="s">
        <v>11</v>
      </c>
      <c r="D3075" s="5" t="s">
        <v>12</v>
      </c>
      <c r="E3075" s="5" t="s">
        <v>2754</v>
      </c>
    </row>
    <row r="3076" spans="1:5" x14ac:dyDescent="0.25">
      <c r="A3076" s="5">
        <f>3068</f>
      </c>
      <c r="B3076" s="5" t="s">
        <v>2777</v>
      </c>
      <c r="C3076" s="5" t="s">
        <v>11</v>
      </c>
      <c r="D3076" s="5" t="s">
        <v>12</v>
      </c>
      <c r="E3076" s="5" t="s">
        <v>2754</v>
      </c>
    </row>
    <row r="3077" spans="1:5" x14ac:dyDescent="0.25">
      <c r="A3077" s="5">
        <f>3069</f>
      </c>
      <c r="B3077" s="5" t="s">
        <v>2778</v>
      </c>
      <c r="C3077" s="5" t="s">
        <v>11</v>
      </c>
      <c r="D3077" s="5" t="s">
        <v>12</v>
      </c>
      <c r="E3077" s="5" t="s">
        <v>2754</v>
      </c>
    </row>
    <row r="3078" spans="1:5" x14ac:dyDescent="0.25">
      <c r="A3078" s="5">
        <f>3070</f>
      </c>
      <c r="B3078" s="5" t="s">
        <v>2778</v>
      </c>
      <c r="C3078" s="5" t="s">
        <v>11</v>
      </c>
      <c r="D3078" s="5" t="s">
        <v>12</v>
      </c>
      <c r="E3078" s="5" t="s">
        <v>2754</v>
      </c>
    </row>
    <row r="3079" spans="1:5" x14ac:dyDescent="0.25">
      <c r="A3079" s="5">
        <f>3071</f>
      </c>
      <c r="B3079" s="5" t="s">
        <v>2779</v>
      </c>
      <c r="C3079" s="5" t="s">
        <v>11</v>
      </c>
      <c r="D3079" s="5" t="s">
        <v>12</v>
      </c>
      <c r="E3079" s="5" t="s">
        <v>2754</v>
      </c>
    </row>
    <row r="3080" spans="1:5" x14ac:dyDescent="0.25">
      <c r="A3080" s="5">
        <f>3072</f>
      </c>
      <c r="B3080" s="5" t="s">
        <v>2779</v>
      </c>
      <c r="C3080" s="5" t="s">
        <v>11</v>
      </c>
      <c r="D3080" s="5" t="s">
        <v>12</v>
      </c>
      <c r="E3080" s="5" t="s">
        <v>2754</v>
      </c>
    </row>
    <row r="3081" spans="1:5" x14ac:dyDescent="0.25">
      <c r="A3081" s="5">
        <f>3073</f>
      </c>
      <c r="B3081" s="5" t="s">
        <v>2780</v>
      </c>
      <c r="C3081" s="5" t="s">
        <v>11</v>
      </c>
      <c r="D3081" s="5" t="s">
        <v>12</v>
      </c>
      <c r="E3081" s="5" t="s">
        <v>2754</v>
      </c>
    </row>
    <row r="3082" spans="1:5" x14ac:dyDescent="0.25">
      <c r="A3082" s="5">
        <f>3074</f>
      </c>
      <c r="B3082" s="5" t="s">
        <v>2780</v>
      </c>
      <c r="C3082" s="5" t="s">
        <v>11</v>
      </c>
      <c r="D3082" s="5" t="s">
        <v>12</v>
      </c>
      <c r="E3082" s="5" t="s">
        <v>2754</v>
      </c>
    </row>
    <row r="3083" spans="1:5" x14ac:dyDescent="0.25">
      <c r="A3083" s="5">
        <f>3075</f>
      </c>
      <c r="B3083" s="5" t="s">
        <v>2781</v>
      </c>
      <c r="C3083" s="5" t="s">
        <v>11</v>
      </c>
      <c r="D3083" s="5" t="s">
        <v>12</v>
      </c>
      <c r="E3083" s="5" t="s">
        <v>2754</v>
      </c>
    </row>
    <row r="3084" spans="1:5" x14ac:dyDescent="0.25">
      <c r="A3084" s="5">
        <f>3076</f>
      </c>
      <c r="B3084" s="5" t="s">
        <v>2781</v>
      </c>
      <c r="C3084" s="5" t="s">
        <v>11</v>
      </c>
      <c r="D3084" s="5" t="s">
        <v>12</v>
      </c>
      <c r="E3084" s="5" t="s">
        <v>2754</v>
      </c>
    </row>
    <row r="3085" spans="1:5" x14ac:dyDescent="0.25">
      <c r="A3085" s="5">
        <f>3077</f>
      </c>
      <c r="B3085" s="5" t="s">
        <v>2782</v>
      </c>
      <c r="C3085" s="5" t="s">
        <v>11</v>
      </c>
      <c r="D3085" s="5" t="s">
        <v>12</v>
      </c>
      <c r="E3085" s="5" t="s">
        <v>2754</v>
      </c>
    </row>
    <row r="3086" spans="1:5" x14ac:dyDescent="0.25">
      <c r="A3086" s="5">
        <f>3078</f>
      </c>
      <c r="B3086" s="5" t="s">
        <v>2782</v>
      </c>
      <c r="C3086" s="5" t="s">
        <v>11</v>
      </c>
      <c r="D3086" s="5" t="s">
        <v>12</v>
      </c>
      <c r="E3086" s="5" t="s">
        <v>2754</v>
      </c>
    </row>
    <row r="3087" spans="1:5" x14ac:dyDescent="0.25">
      <c r="A3087" s="5">
        <f>3079</f>
      </c>
      <c r="B3087" s="5" t="s">
        <v>2783</v>
      </c>
      <c r="C3087" s="5" t="s">
        <v>11</v>
      </c>
      <c r="D3087" s="5" t="s">
        <v>12</v>
      </c>
      <c r="E3087" s="5" t="s">
        <v>2754</v>
      </c>
    </row>
    <row r="3088" spans="1:5" x14ac:dyDescent="0.25">
      <c r="A3088" s="5">
        <f>3080</f>
      </c>
      <c r="B3088" s="5" t="s">
        <v>2783</v>
      </c>
      <c r="C3088" s="5" t="s">
        <v>11</v>
      </c>
      <c r="D3088" s="5" t="s">
        <v>12</v>
      </c>
      <c r="E3088" s="5" t="s">
        <v>2754</v>
      </c>
    </row>
    <row r="3089" spans="1:5" x14ac:dyDescent="0.25">
      <c r="A3089" s="5">
        <f>3081</f>
      </c>
      <c r="B3089" s="5" t="s">
        <v>2784</v>
      </c>
      <c r="C3089" s="5" t="s">
        <v>11</v>
      </c>
      <c r="D3089" s="5" t="s">
        <v>12</v>
      </c>
      <c r="E3089" s="5" t="s">
        <v>2754</v>
      </c>
    </row>
    <row r="3090" spans="1:5" x14ac:dyDescent="0.25">
      <c r="A3090" s="5">
        <f>3082</f>
      </c>
      <c r="B3090" s="5" t="s">
        <v>2784</v>
      </c>
      <c r="C3090" s="5" t="s">
        <v>11</v>
      </c>
      <c r="D3090" s="5" t="s">
        <v>12</v>
      </c>
      <c r="E3090" s="5" t="s">
        <v>2754</v>
      </c>
    </row>
    <row r="3091" spans="1:5" x14ac:dyDescent="0.25">
      <c r="A3091" s="5">
        <f>3083</f>
      </c>
      <c r="B3091" s="5" t="s">
        <v>2785</v>
      </c>
      <c r="C3091" s="5" t="s">
        <v>11</v>
      </c>
      <c r="D3091" s="5" t="s">
        <v>12</v>
      </c>
      <c r="E3091" s="5" t="s">
        <v>2754</v>
      </c>
    </row>
    <row r="3092" spans="1:5" x14ac:dyDescent="0.25">
      <c r="A3092" s="5">
        <f>3084</f>
      </c>
      <c r="B3092" s="5" t="s">
        <v>2785</v>
      </c>
      <c r="C3092" s="5" t="s">
        <v>11</v>
      </c>
      <c r="D3092" s="5" t="s">
        <v>12</v>
      </c>
      <c r="E3092" s="5" t="s">
        <v>2754</v>
      </c>
    </row>
    <row r="3093" spans="1:5" x14ac:dyDescent="0.25">
      <c r="A3093" s="5">
        <f>3085</f>
      </c>
      <c r="B3093" s="5" t="s">
        <v>2786</v>
      </c>
      <c r="C3093" s="5" t="s">
        <v>11</v>
      </c>
      <c r="D3093" s="5" t="s">
        <v>12</v>
      </c>
      <c r="E3093" s="5" t="s">
        <v>2754</v>
      </c>
    </row>
    <row r="3094" spans="1:5" x14ac:dyDescent="0.25">
      <c r="A3094" s="5">
        <f>3086</f>
      </c>
      <c r="B3094" s="5" t="s">
        <v>2786</v>
      </c>
      <c r="C3094" s="5" t="s">
        <v>11</v>
      </c>
      <c r="D3094" s="5" t="s">
        <v>12</v>
      </c>
      <c r="E3094" s="5" t="s">
        <v>2754</v>
      </c>
    </row>
    <row r="3095" spans="1:5" x14ac:dyDescent="0.25">
      <c r="A3095" s="5">
        <f>3087</f>
      </c>
      <c r="B3095" s="5" t="s">
        <v>2787</v>
      </c>
      <c r="C3095" s="5" t="s">
        <v>11</v>
      </c>
      <c r="D3095" s="5" t="s">
        <v>12</v>
      </c>
      <c r="E3095" s="5" t="s">
        <v>2754</v>
      </c>
    </row>
    <row r="3096" spans="1:5" x14ac:dyDescent="0.25">
      <c r="A3096" s="5">
        <f>3088</f>
      </c>
      <c r="B3096" s="5" t="s">
        <v>2787</v>
      </c>
      <c r="C3096" s="5" t="s">
        <v>11</v>
      </c>
      <c r="D3096" s="5" t="s">
        <v>12</v>
      </c>
      <c r="E3096" s="5" t="s">
        <v>2754</v>
      </c>
    </row>
    <row r="3097" spans="1:5" x14ac:dyDescent="0.25">
      <c r="A3097" s="5">
        <f>3089</f>
      </c>
      <c r="B3097" s="5" t="s">
        <v>2788</v>
      </c>
      <c r="C3097" s="5" t="s">
        <v>11</v>
      </c>
      <c r="D3097" s="5" t="s">
        <v>12</v>
      </c>
      <c r="E3097" s="5" t="s">
        <v>2754</v>
      </c>
    </row>
    <row r="3098" spans="1:5" x14ac:dyDescent="0.25">
      <c r="A3098" s="5">
        <f>3090</f>
      </c>
      <c r="B3098" s="5" t="s">
        <v>2788</v>
      </c>
      <c r="C3098" s="5" t="s">
        <v>11</v>
      </c>
      <c r="D3098" s="5" t="s">
        <v>12</v>
      </c>
      <c r="E3098" s="5" t="s">
        <v>2754</v>
      </c>
    </row>
    <row r="3099" spans="1:5" x14ac:dyDescent="0.25">
      <c r="A3099" s="5">
        <f>3091</f>
      </c>
      <c r="B3099" s="5" t="s">
        <v>2789</v>
      </c>
      <c r="C3099" s="5" t="s">
        <v>11</v>
      </c>
      <c r="D3099" s="5" t="s">
        <v>12</v>
      </c>
      <c r="E3099" s="5" t="s">
        <v>2754</v>
      </c>
    </row>
    <row r="3100" spans="1:5" x14ac:dyDescent="0.25">
      <c r="A3100" s="5">
        <f>3092</f>
      </c>
      <c r="B3100" s="5" t="s">
        <v>2789</v>
      </c>
      <c r="C3100" s="5" t="s">
        <v>11</v>
      </c>
      <c r="D3100" s="5" t="s">
        <v>12</v>
      </c>
      <c r="E3100" s="5" t="s">
        <v>2754</v>
      </c>
    </row>
    <row r="3101" spans="1:5" x14ac:dyDescent="0.25">
      <c r="A3101" s="5">
        <f>3093</f>
      </c>
      <c r="B3101" s="5" t="s">
        <v>2790</v>
      </c>
      <c r="C3101" s="5" t="s">
        <v>11</v>
      </c>
      <c r="D3101" s="5" t="s">
        <v>12</v>
      </c>
      <c r="E3101" s="5" t="s">
        <v>2754</v>
      </c>
    </row>
    <row r="3102" spans="1:5" x14ac:dyDescent="0.25">
      <c r="A3102" s="5">
        <f>3094</f>
      </c>
      <c r="B3102" s="5" t="s">
        <v>2790</v>
      </c>
      <c r="C3102" s="5" t="s">
        <v>11</v>
      </c>
      <c r="D3102" s="5" t="s">
        <v>12</v>
      </c>
      <c r="E3102" s="5" t="s">
        <v>2754</v>
      </c>
    </row>
    <row r="3103" spans="1:5" x14ac:dyDescent="0.25">
      <c r="A3103" s="5">
        <f>3095</f>
      </c>
      <c r="B3103" s="5" t="s">
        <v>2791</v>
      </c>
      <c r="C3103" s="5" t="s">
        <v>11</v>
      </c>
      <c r="D3103" s="5" t="s">
        <v>12</v>
      </c>
      <c r="E3103" s="5" t="s">
        <v>2754</v>
      </c>
    </row>
    <row r="3104" spans="1:5" x14ac:dyDescent="0.25">
      <c r="A3104" s="5">
        <f>3096</f>
      </c>
      <c r="B3104" s="5" t="s">
        <v>2791</v>
      </c>
      <c r="C3104" s="5" t="s">
        <v>11</v>
      </c>
      <c r="D3104" s="5" t="s">
        <v>12</v>
      </c>
      <c r="E3104" s="5" t="s">
        <v>2754</v>
      </c>
    </row>
    <row r="3105" spans="1:5" x14ac:dyDescent="0.25">
      <c r="A3105" s="5">
        <f>3097</f>
      </c>
      <c r="B3105" s="5" t="s">
        <v>2792</v>
      </c>
      <c r="C3105" s="5" t="s">
        <v>11</v>
      </c>
      <c r="D3105" s="5" t="s">
        <v>12</v>
      </c>
      <c r="E3105" s="5" t="s">
        <v>2754</v>
      </c>
    </row>
    <row r="3106" spans="1:5" x14ac:dyDescent="0.25">
      <c r="A3106" s="5">
        <f>3098</f>
      </c>
      <c r="B3106" s="5" t="s">
        <v>2792</v>
      </c>
      <c r="C3106" s="5" t="s">
        <v>11</v>
      </c>
      <c r="D3106" s="5" t="s">
        <v>12</v>
      </c>
      <c r="E3106" s="5" t="s">
        <v>2754</v>
      </c>
    </row>
    <row r="3107" spans="1:5" x14ac:dyDescent="0.25">
      <c r="A3107" s="5">
        <f>3099</f>
      </c>
      <c r="B3107" s="5" t="s">
        <v>2793</v>
      </c>
      <c r="C3107" s="5" t="s">
        <v>11</v>
      </c>
      <c r="D3107" s="5" t="s">
        <v>12</v>
      </c>
      <c r="E3107" s="5" t="s">
        <v>2754</v>
      </c>
    </row>
    <row r="3108" spans="1:5" x14ac:dyDescent="0.25">
      <c r="A3108" s="5">
        <f>3100</f>
      </c>
      <c r="B3108" s="5" t="s">
        <v>2793</v>
      </c>
      <c r="C3108" s="5" t="s">
        <v>11</v>
      </c>
      <c r="D3108" s="5" t="s">
        <v>12</v>
      </c>
      <c r="E3108" s="5" t="s">
        <v>2754</v>
      </c>
    </row>
    <row r="3109" spans="1:5" x14ac:dyDescent="0.25">
      <c r="A3109" s="5">
        <f>3101</f>
      </c>
      <c r="B3109" s="5" t="s">
        <v>2794</v>
      </c>
      <c r="C3109" s="5" t="s">
        <v>11</v>
      </c>
      <c r="D3109" s="5" t="s">
        <v>12</v>
      </c>
      <c r="E3109" s="5" t="s">
        <v>2754</v>
      </c>
    </row>
    <row r="3110" spans="1:5" x14ac:dyDescent="0.25">
      <c r="A3110" s="5">
        <f>3102</f>
      </c>
      <c r="B3110" s="5" t="s">
        <v>2794</v>
      </c>
      <c r="C3110" s="5" t="s">
        <v>11</v>
      </c>
      <c r="D3110" s="5" t="s">
        <v>12</v>
      </c>
      <c r="E3110" s="5" t="s">
        <v>2754</v>
      </c>
    </row>
    <row r="3111" spans="1:5" x14ac:dyDescent="0.25">
      <c r="A3111" s="5">
        <f>3103</f>
      </c>
      <c r="B3111" s="5" t="s">
        <v>2795</v>
      </c>
      <c r="C3111" s="5" t="s">
        <v>11</v>
      </c>
      <c r="D3111" s="5" t="s">
        <v>12</v>
      </c>
      <c r="E3111" s="5" t="s">
        <v>2754</v>
      </c>
    </row>
    <row r="3112" spans="1:5" x14ac:dyDescent="0.25">
      <c r="A3112" s="5">
        <f>3104</f>
      </c>
      <c r="B3112" s="5" t="s">
        <v>2795</v>
      </c>
      <c r="C3112" s="5" t="s">
        <v>11</v>
      </c>
      <c r="D3112" s="5" t="s">
        <v>12</v>
      </c>
      <c r="E3112" s="5" t="s">
        <v>2754</v>
      </c>
    </row>
    <row r="3113" spans="1:5" x14ac:dyDescent="0.25">
      <c r="A3113" s="5">
        <f>3105</f>
      </c>
      <c r="B3113" s="5" t="s">
        <v>2796</v>
      </c>
      <c r="C3113" s="5" t="s">
        <v>11</v>
      </c>
      <c r="D3113" s="5" t="s">
        <v>12</v>
      </c>
      <c r="E3113" s="5" t="s">
        <v>2754</v>
      </c>
    </row>
    <row r="3114" spans="1:5" x14ac:dyDescent="0.25">
      <c r="A3114" s="5">
        <f>3106</f>
      </c>
      <c r="B3114" s="5" t="s">
        <v>2796</v>
      </c>
      <c r="C3114" s="5" t="s">
        <v>11</v>
      </c>
      <c r="D3114" s="5" t="s">
        <v>12</v>
      </c>
      <c r="E3114" s="5" t="s">
        <v>2754</v>
      </c>
    </row>
    <row r="3115" spans="1:5" x14ac:dyDescent="0.25">
      <c r="A3115" s="5">
        <f>3107</f>
      </c>
      <c r="B3115" s="5" t="s">
        <v>2797</v>
      </c>
      <c r="C3115" s="5" t="s">
        <v>11</v>
      </c>
      <c r="D3115" s="5" t="s">
        <v>12</v>
      </c>
      <c r="E3115" s="5" t="s">
        <v>2754</v>
      </c>
    </row>
    <row r="3116" spans="1:5" x14ac:dyDescent="0.25">
      <c r="A3116" s="5">
        <f>3108</f>
      </c>
      <c r="B3116" s="5" t="s">
        <v>2797</v>
      </c>
      <c r="C3116" s="5" t="s">
        <v>11</v>
      </c>
      <c r="D3116" s="5" t="s">
        <v>12</v>
      </c>
      <c r="E3116" s="5" t="s">
        <v>2754</v>
      </c>
    </row>
    <row r="3117" spans="1:5" x14ac:dyDescent="0.25">
      <c r="A3117" s="5">
        <f>3109</f>
      </c>
      <c r="B3117" s="5" t="s">
        <v>2798</v>
      </c>
      <c r="C3117" s="5" t="s">
        <v>11</v>
      </c>
      <c r="D3117" s="5" t="s">
        <v>12</v>
      </c>
      <c r="E3117" s="5" t="s">
        <v>2754</v>
      </c>
    </row>
    <row r="3118" spans="1:5" x14ac:dyDescent="0.25">
      <c r="A3118" s="5">
        <f>3110</f>
      </c>
      <c r="B3118" s="5" t="s">
        <v>2798</v>
      </c>
      <c r="C3118" s="5" t="s">
        <v>11</v>
      </c>
      <c r="D3118" s="5" t="s">
        <v>12</v>
      </c>
      <c r="E3118" s="5" t="s">
        <v>2754</v>
      </c>
    </row>
    <row r="3119" spans="1:5" x14ac:dyDescent="0.25">
      <c r="A3119" s="5">
        <f>3111</f>
      </c>
      <c r="B3119" s="5" t="s">
        <v>2799</v>
      </c>
      <c r="C3119" s="5" t="s">
        <v>11</v>
      </c>
      <c r="D3119" s="5" t="s">
        <v>12</v>
      </c>
      <c r="E3119" s="5" t="s">
        <v>2754</v>
      </c>
    </row>
    <row r="3120" spans="1:5" x14ac:dyDescent="0.25">
      <c r="A3120" s="5">
        <f>3112</f>
      </c>
      <c r="B3120" s="5" t="s">
        <v>2799</v>
      </c>
      <c r="C3120" s="5" t="s">
        <v>11</v>
      </c>
      <c r="D3120" s="5" t="s">
        <v>12</v>
      </c>
      <c r="E3120" s="5" t="s">
        <v>2754</v>
      </c>
    </row>
    <row r="3121" spans="1:5" x14ac:dyDescent="0.25">
      <c r="A3121" s="5">
        <f>3113</f>
      </c>
      <c r="B3121" s="5" t="s">
        <v>2800</v>
      </c>
      <c r="C3121" s="5" t="s">
        <v>11</v>
      </c>
      <c r="D3121" s="5" t="s">
        <v>12</v>
      </c>
      <c r="E3121" s="5" t="s">
        <v>2754</v>
      </c>
    </row>
    <row r="3122" spans="1:5" x14ac:dyDescent="0.25">
      <c r="A3122" s="5">
        <f>3114</f>
      </c>
      <c r="B3122" s="5" t="s">
        <v>2800</v>
      </c>
      <c r="C3122" s="5" t="s">
        <v>11</v>
      </c>
      <c r="D3122" s="5" t="s">
        <v>12</v>
      </c>
      <c r="E3122" s="5" t="s">
        <v>2754</v>
      </c>
    </row>
    <row r="3123" spans="1:5" x14ac:dyDescent="0.25">
      <c r="A3123" s="5">
        <f>3115</f>
      </c>
      <c r="B3123" s="5" t="s">
        <v>2801</v>
      </c>
      <c r="C3123" s="5" t="s">
        <v>11</v>
      </c>
      <c r="D3123" s="5" t="s">
        <v>12</v>
      </c>
      <c r="E3123" s="5" t="s">
        <v>2754</v>
      </c>
    </row>
    <row r="3124" spans="1:5" x14ac:dyDescent="0.25">
      <c r="A3124" s="5">
        <f>3116</f>
      </c>
      <c r="B3124" s="5" t="s">
        <v>2801</v>
      </c>
      <c r="C3124" s="5" t="s">
        <v>11</v>
      </c>
      <c r="D3124" s="5" t="s">
        <v>12</v>
      </c>
      <c r="E3124" s="5" t="s">
        <v>2754</v>
      </c>
    </row>
    <row r="3125" spans="1:5" x14ac:dyDescent="0.25">
      <c r="A3125" s="5">
        <f>3117</f>
      </c>
      <c r="B3125" s="5" t="s">
        <v>2802</v>
      </c>
      <c r="C3125" s="5" t="s">
        <v>11</v>
      </c>
      <c r="D3125" s="5" t="s">
        <v>12</v>
      </c>
      <c r="E3125" s="5" t="s">
        <v>2754</v>
      </c>
    </row>
    <row r="3126" spans="1:5" x14ac:dyDescent="0.25">
      <c r="A3126" s="5">
        <f>3118</f>
      </c>
      <c r="B3126" s="5" t="s">
        <v>2802</v>
      </c>
      <c r="C3126" s="5" t="s">
        <v>11</v>
      </c>
      <c r="D3126" s="5" t="s">
        <v>12</v>
      </c>
      <c r="E3126" s="5" t="s">
        <v>2754</v>
      </c>
    </row>
    <row r="3127" spans="1:5" x14ac:dyDescent="0.25">
      <c r="A3127" s="5">
        <f>3119</f>
      </c>
      <c r="B3127" s="5" t="s">
        <v>2803</v>
      </c>
      <c r="C3127" s="5" t="s">
        <v>11</v>
      </c>
      <c r="D3127" s="5" t="s">
        <v>12</v>
      </c>
      <c r="E3127" s="5" t="s">
        <v>2754</v>
      </c>
    </row>
    <row r="3128" spans="1:5" x14ac:dyDescent="0.25">
      <c r="A3128" s="5">
        <f>3120</f>
      </c>
      <c r="B3128" s="5" t="s">
        <v>2803</v>
      </c>
      <c r="C3128" s="5" t="s">
        <v>11</v>
      </c>
      <c r="D3128" s="5" t="s">
        <v>12</v>
      </c>
      <c r="E3128" s="5" t="s">
        <v>2754</v>
      </c>
    </row>
    <row r="3129" spans="1:5" x14ac:dyDescent="0.25">
      <c r="A3129" s="5">
        <f>3121</f>
      </c>
      <c r="B3129" s="5" t="s">
        <v>2804</v>
      </c>
      <c r="C3129" s="5" t="s">
        <v>11</v>
      </c>
      <c r="D3129" s="5" t="s">
        <v>12</v>
      </c>
      <c r="E3129" s="5" t="s">
        <v>2754</v>
      </c>
    </row>
    <row r="3130" spans="1:5" x14ac:dyDescent="0.25">
      <c r="A3130" s="5">
        <f>3122</f>
      </c>
      <c r="B3130" s="5" t="s">
        <v>2804</v>
      </c>
      <c r="C3130" s="5" t="s">
        <v>11</v>
      </c>
      <c r="D3130" s="5" t="s">
        <v>12</v>
      </c>
      <c r="E3130" s="5" t="s">
        <v>2754</v>
      </c>
    </row>
    <row r="3131" spans="1:5" x14ac:dyDescent="0.25">
      <c r="A3131" s="5">
        <f>3123</f>
      </c>
      <c r="B3131" s="5" t="s">
        <v>2805</v>
      </c>
      <c r="C3131" s="5" t="s">
        <v>11</v>
      </c>
      <c r="D3131" s="5" t="s">
        <v>12</v>
      </c>
      <c r="E3131" s="5" t="s">
        <v>2754</v>
      </c>
    </row>
    <row r="3132" spans="1:5" x14ac:dyDescent="0.25">
      <c r="A3132" s="5">
        <f>3124</f>
      </c>
      <c r="B3132" s="5" t="s">
        <v>2805</v>
      </c>
      <c r="C3132" s="5" t="s">
        <v>11</v>
      </c>
      <c r="D3132" s="5" t="s">
        <v>12</v>
      </c>
      <c r="E3132" s="5" t="s">
        <v>2754</v>
      </c>
    </row>
    <row r="3133" spans="1:5" x14ac:dyDescent="0.25">
      <c r="A3133" s="5">
        <f>3125</f>
      </c>
      <c r="B3133" s="5" t="s">
        <v>2806</v>
      </c>
      <c r="C3133" s="5" t="s">
        <v>11</v>
      </c>
      <c r="D3133" s="5" t="s">
        <v>12</v>
      </c>
      <c r="E3133" s="5" t="s">
        <v>2754</v>
      </c>
    </row>
    <row r="3134" spans="1:5" x14ac:dyDescent="0.25">
      <c r="A3134" s="5">
        <f>3126</f>
      </c>
      <c r="B3134" s="5" t="s">
        <v>2806</v>
      </c>
      <c r="C3134" s="5" t="s">
        <v>11</v>
      </c>
      <c r="D3134" s="5" t="s">
        <v>12</v>
      </c>
      <c r="E3134" s="5" t="s">
        <v>2754</v>
      </c>
    </row>
    <row r="3135" spans="1:5" x14ac:dyDescent="0.25">
      <c r="A3135" s="5">
        <f>3127</f>
      </c>
      <c r="B3135" s="5" t="s">
        <v>2807</v>
      </c>
      <c r="C3135" s="5" t="s">
        <v>11</v>
      </c>
      <c r="D3135" s="5" t="s">
        <v>12</v>
      </c>
      <c r="E3135" s="5" t="s">
        <v>2754</v>
      </c>
    </row>
    <row r="3136" spans="1:5" x14ac:dyDescent="0.25">
      <c r="A3136" s="5">
        <f>3128</f>
      </c>
      <c r="B3136" s="5" t="s">
        <v>2807</v>
      </c>
      <c r="C3136" s="5" t="s">
        <v>11</v>
      </c>
      <c r="D3136" s="5" t="s">
        <v>12</v>
      </c>
      <c r="E3136" s="5" t="s">
        <v>2754</v>
      </c>
    </row>
    <row r="3137" spans="1:5" x14ac:dyDescent="0.25">
      <c r="A3137" s="5">
        <f>3129</f>
      </c>
      <c r="B3137" s="5" t="s">
        <v>2808</v>
      </c>
      <c r="C3137" s="5" t="s">
        <v>11</v>
      </c>
      <c r="D3137" s="5" t="s">
        <v>12</v>
      </c>
      <c r="E3137" s="5" t="s">
        <v>2754</v>
      </c>
    </row>
    <row r="3138" spans="1:5" x14ac:dyDescent="0.25">
      <c r="A3138" s="5">
        <f>3130</f>
      </c>
      <c r="B3138" s="5" t="s">
        <v>2808</v>
      </c>
      <c r="C3138" s="5" t="s">
        <v>11</v>
      </c>
      <c r="D3138" s="5" t="s">
        <v>12</v>
      </c>
      <c r="E3138" s="5" t="s">
        <v>2754</v>
      </c>
    </row>
    <row r="3139" spans="1:5" x14ac:dyDescent="0.25">
      <c r="A3139" s="5">
        <f>3131</f>
      </c>
      <c r="B3139" s="5" t="s">
        <v>2809</v>
      </c>
      <c r="C3139" s="5" t="s">
        <v>11</v>
      </c>
      <c r="D3139" s="5" t="s">
        <v>12</v>
      </c>
      <c r="E3139" s="5" t="s">
        <v>2754</v>
      </c>
    </row>
    <row r="3140" spans="1:5" x14ac:dyDescent="0.25">
      <c r="A3140" s="5">
        <f>3132</f>
      </c>
      <c r="B3140" s="5" t="s">
        <v>2809</v>
      </c>
      <c r="C3140" s="5" t="s">
        <v>11</v>
      </c>
      <c r="D3140" s="5" t="s">
        <v>12</v>
      </c>
      <c r="E3140" s="5" t="s">
        <v>2754</v>
      </c>
    </row>
    <row r="3141" spans="1:5" x14ac:dyDescent="0.25">
      <c r="A3141" s="5">
        <f>3133</f>
      </c>
      <c r="B3141" s="5" t="s">
        <v>2810</v>
      </c>
      <c r="C3141" s="5" t="s">
        <v>11</v>
      </c>
      <c r="D3141" s="5" t="s">
        <v>12</v>
      </c>
      <c r="E3141" s="5" t="s">
        <v>2754</v>
      </c>
    </row>
    <row r="3142" spans="1:5" x14ac:dyDescent="0.25">
      <c r="A3142" s="5">
        <f>3134</f>
      </c>
      <c r="B3142" s="5" t="s">
        <v>2810</v>
      </c>
      <c r="C3142" s="5" t="s">
        <v>11</v>
      </c>
      <c r="D3142" s="5" t="s">
        <v>12</v>
      </c>
      <c r="E3142" s="5" t="s">
        <v>2754</v>
      </c>
    </row>
    <row r="3143" spans="1:5" x14ac:dyDescent="0.25">
      <c r="A3143" s="5">
        <f>3135</f>
      </c>
      <c r="B3143" s="5" t="s">
        <v>2811</v>
      </c>
      <c r="C3143" s="5" t="s">
        <v>11</v>
      </c>
      <c r="D3143" s="5" t="s">
        <v>12</v>
      </c>
      <c r="E3143" s="5" t="s">
        <v>2754</v>
      </c>
    </row>
    <row r="3144" spans="1:5" x14ac:dyDescent="0.25">
      <c r="A3144" s="5">
        <f>3136</f>
      </c>
      <c r="B3144" s="5" t="s">
        <v>2811</v>
      </c>
      <c r="C3144" s="5" t="s">
        <v>11</v>
      </c>
      <c r="D3144" s="5" t="s">
        <v>12</v>
      </c>
      <c r="E3144" s="5" t="s">
        <v>2754</v>
      </c>
    </row>
    <row r="3145" spans="1:5" x14ac:dyDescent="0.25">
      <c r="A3145" s="5">
        <f>3137</f>
      </c>
      <c r="B3145" s="5" t="s">
        <v>2812</v>
      </c>
      <c r="C3145" s="5" t="s">
        <v>11</v>
      </c>
      <c r="D3145" s="5" t="s">
        <v>12</v>
      </c>
      <c r="E3145" s="5" t="s">
        <v>2754</v>
      </c>
    </row>
    <row r="3146" spans="1:5" x14ac:dyDescent="0.25">
      <c r="A3146" s="5">
        <f>3138</f>
      </c>
      <c r="B3146" s="5" t="s">
        <v>2812</v>
      </c>
      <c r="C3146" s="5" t="s">
        <v>11</v>
      </c>
      <c r="D3146" s="5" t="s">
        <v>12</v>
      </c>
      <c r="E3146" s="5" t="s">
        <v>2754</v>
      </c>
    </row>
    <row r="3147" spans="1:5" x14ac:dyDescent="0.25">
      <c r="A3147" s="5">
        <f>3139</f>
      </c>
      <c r="B3147" s="5" t="s">
        <v>2813</v>
      </c>
      <c r="C3147" s="5" t="s">
        <v>11</v>
      </c>
      <c r="D3147" s="5" t="s">
        <v>12</v>
      </c>
      <c r="E3147" s="5" t="s">
        <v>2754</v>
      </c>
    </row>
    <row r="3148" spans="1:5" x14ac:dyDescent="0.25">
      <c r="A3148" s="5">
        <f>3140</f>
      </c>
      <c r="B3148" s="5" t="s">
        <v>2813</v>
      </c>
      <c r="C3148" s="5" t="s">
        <v>11</v>
      </c>
      <c r="D3148" s="5" t="s">
        <v>12</v>
      </c>
      <c r="E3148" s="5" t="s">
        <v>2754</v>
      </c>
    </row>
    <row r="3149" spans="1:5" x14ac:dyDescent="0.25">
      <c r="A3149" s="5">
        <f>3141</f>
      </c>
      <c r="B3149" s="5" t="s">
        <v>2814</v>
      </c>
      <c r="C3149" s="5" t="s">
        <v>11</v>
      </c>
      <c r="D3149" s="5" t="s">
        <v>12</v>
      </c>
      <c r="E3149" s="5" t="s">
        <v>2247</v>
      </c>
    </row>
    <row r="3150" spans="1:5" x14ac:dyDescent="0.25">
      <c r="A3150" s="5">
        <f>3142</f>
      </c>
      <c r="B3150" s="5" t="s">
        <v>2814</v>
      </c>
      <c r="C3150" s="5" t="s">
        <v>11</v>
      </c>
      <c r="D3150" s="5" t="s">
        <v>12</v>
      </c>
      <c r="E3150" s="5" t="s">
        <v>2247</v>
      </c>
    </row>
    <row r="3151" spans="1:5" x14ac:dyDescent="0.25">
      <c r="A3151" s="5">
        <f>3143</f>
      </c>
      <c r="B3151" s="5" t="s">
        <v>2815</v>
      </c>
      <c r="C3151" s="5" t="s">
        <v>11</v>
      </c>
      <c r="D3151" s="5" t="s">
        <v>12</v>
      </c>
      <c r="E3151" s="5" t="s">
        <v>2816</v>
      </c>
    </row>
    <row r="3152" spans="1:5" x14ac:dyDescent="0.25">
      <c r="A3152" s="5">
        <f>3144</f>
      </c>
      <c r="B3152" s="5" t="s">
        <v>2815</v>
      </c>
      <c r="C3152" s="5" t="s">
        <v>11</v>
      </c>
      <c r="D3152" s="5" t="s">
        <v>12</v>
      </c>
      <c r="E3152" s="5" t="s">
        <v>2816</v>
      </c>
    </row>
    <row r="3153" spans="1:5" x14ac:dyDescent="0.25">
      <c r="A3153" s="5">
        <f>3145</f>
      </c>
      <c r="B3153" s="5" t="s">
        <v>2817</v>
      </c>
      <c r="C3153" s="5" t="s">
        <v>11</v>
      </c>
      <c r="D3153" s="5" t="s">
        <v>12</v>
      </c>
      <c r="E3153" s="5" t="s">
        <v>775</v>
      </c>
    </row>
    <row r="3154" spans="1:5" x14ac:dyDescent="0.25">
      <c r="A3154" s="5">
        <f>3146</f>
      </c>
      <c r="B3154" s="5" t="s">
        <v>2817</v>
      </c>
      <c r="C3154" s="5" t="s">
        <v>11</v>
      </c>
      <c r="D3154" s="5" t="s">
        <v>12</v>
      </c>
      <c r="E3154" s="5" t="s">
        <v>775</v>
      </c>
    </row>
    <row r="3155" spans="1:5" x14ac:dyDescent="0.25">
      <c r="A3155" s="5">
        <f>3147</f>
      </c>
      <c r="B3155" s="5" t="s">
        <v>2818</v>
      </c>
      <c r="C3155" s="5" t="s">
        <v>11</v>
      </c>
      <c r="D3155" s="5" t="s">
        <v>12</v>
      </c>
      <c r="E3155" s="5" t="s">
        <v>2819</v>
      </c>
    </row>
    <row r="3156" spans="1:5" x14ac:dyDescent="0.25">
      <c r="A3156" s="5">
        <f>3148</f>
      </c>
      <c r="B3156" s="5" t="s">
        <v>2818</v>
      </c>
      <c r="C3156" s="5" t="s">
        <v>11</v>
      </c>
      <c r="D3156" s="5" t="s">
        <v>12</v>
      </c>
      <c r="E3156" s="5" t="s">
        <v>2819</v>
      </c>
    </row>
    <row r="3157" spans="1:5" x14ac:dyDescent="0.25">
      <c r="A3157" s="5">
        <f>3149</f>
      </c>
      <c r="B3157" s="5" t="s">
        <v>2820</v>
      </c>
      <c r="C3157" s="5" t="s">
        <v>11</v>
      </c>
      <c r="D3157" s="5" t="s">
        <v>12</v>
      </c>
      <c r="E3157" s="5" t="s">
        <v>2821</v>
      </c>
    </row>
    <row r="3158" spans="1:5" x14ac:dyDescent="0.25">
      <c r="A3158" s="5">
        <f>3150</f>
      </c>
      <c r="B3158" s="5" t="s">
        <v>2820</v>
      </c>
      <c r="C3158" s="5" t="s">
        <v>11</v>
      </c>
      <c r="D3158" s="5" t="s">
        <v>12</v>
      </c>
      <c r="E3158" s="5" t="s">
        <v>2821</v>
      </c>
    </row>
    <row r="3159" spans="1:5" x14ac:dyDescent="0.25">
      <c r="A3159" s="5">
        <f>3151</f>
      </c>
      <c r="B3159" s="5" t="s">
        <v>2822</v>
      </c>
      <c r="C3159" s="5" t="s">
        <v>11</v>
      </c>
      <c r="D3159" s="5" t="s">
        <v>12</v>
      </c>
      <c r="E3159" s="5" t="s">
        <v>2823</v>
      </c>
    </row>
    <row r="3160" spans="1:5" x14ac:dyDescent="0.25">
      <c r="A3160" s="5">
        <f>3152</f>
      </c>
      <c r="B3160" s="5" t="s">
        <v>2822</v>
      </c>
      <c r="C3160" s="5" t="s">
        <v>11</v>
      </c>
      <c r="D3160" s="5" t="s">
        <v>12</v>
      </c>
      <c r="E3160" s="5" t="s">
        <v>2823</v>
      </c>
    </row>
    <row r="3161" spans="1:5" x14ac:dyDescent="0.25">
      <c r="A3161" s="5">
        <f>3153</f>
      </c>
      <c r="B3161" s="5" t="s">
        <v>2824</v>
      </c>
      <c r="C3161" s="5" t="s">
        <v>11</v>
      </c>
      <c r="D3161" s="5" t="s">
        <v>12</v>
      </c>
      <c r="E3161" s="5" t="s">
        <v>778</v>
      </c>
    </row>
    <row r="3162" spans="1:5" x14ac:dyDescent="0.25">
      <c r="A3162" s="5">
        <f>3154</f>
      </c>
      <c r="B3162" s="5" t="s">
        <v>2824</v>
      </c>
      <c r="C3162" s="5" t="s">
        <v>11</v>
      </c>
      <c r="D3162" s="5" t="s">
        <v>12</v>
      </c>
      <c r="E3162" s="5" t="s">
        <v>778</v>
      </c>
    </row>
    <row r="3163" spans="1:5" x14ac:dyDescent="0.25">
      <c r="A3163" s="5">
        <f>3155</f>
      </c>
      <c r="B3163" s="5" t="s">
        <v>2825</v>
      </c>
      <c r="C3163" s="5" t="s">
        <v>11</v>
      </c>
      <c r="D3163" s="5" t="s">
        <v>12</v>
      </c>
      <c r="E3163" s="5" t="s">
        <v>2826</v>
      </c>
    </row>
    <row r="3164" spans="1:5" x14ac:dyDescent="0.25">
      <c r="A3164" s="5">
        <f>3156</f>
      </c>
      <c r="B3164" s="5" t="s">
        <v>2825</v>
      </c>
      <c r="C3164" s="5" t="s">
        <v>11</v>
      </c>
      <c r="D3164" s="5" t="s">
        <v>12</v>
      </c>
      <c r="E3164" s="5" t="s">
        <v>2826</v>
      </c>
    </row>
    <row r="3165" spans="1:5" x14ac:dyDescent="0.25">
      <c r="A3165" s="5">
        <f>3157</f>
      </c>
      <c r="B3165" s="5" t="s">
        <v>2827</v>
      </c>
      <c r="C3165" s="5" t="s">
        <v>11</v>
      </c>
      <c r="D3165" s="5" t="s">
        <v>12</v>
      </c>
      <c r="E3165" s="5" t="s">
        <v>999</v>
      </c>
    </row>
    <row r="3166" spans="1:5" x14ac:dyDescent="0.25">
      <c r="A3166" s="5">
        <f>3158</f>
      </c>
      <c r="B3166" s="5" t="s">
        <v>2827</v>
      </c>
      <c r="C3166" s="5" t="s">
        <v>11</v>
      </c>
      <c r="D3166" s="5" t="s">
        <v>12</v>
      </c>
      <c r="E3166" s="5" t="s">
        <v>999</v>
      </c>
    </row>
    <row r="3167" spans="1:5" x14ac:dyDescent="0.25">
      <c r="A3167" s="5">
        <f>3159</f>
      </c>
      <c r="B3167" s="5" t="s">
        <v>2828</v>
      </c>
      <c r="C3167" s="5" t="s">
        <v>11</v>
      </c>
      <c r="D3167" s="5" t="s">
        <v>12</v>
      </c>
      <c r="E3167" s="5" t="s">
        <v>2829</v>
      </c>
    </row>
    <row r="3168" spans="1:5" x14ac:dyDescent="0.25">
      <c r="A3168" s="5">
        <f>3160</f>
      </c>
      <c r="B3168" s="5" t="s">
        <v>2828</v>
      </c>
      <c r="C3168" s="5" t="s">
        <v>11</v>
      </c>
      <c r="D3168" s="5" t="s">
        <v>12</v>
      </c>
      <c r="E3168" s="5" t="s">
        <v>2829</v>
      </c>
    </row>
    <row r="3169" spans="1:5" x14ac:dyDescent="0.25">
      <c r="A3169" s="5">
        <f>3161</f>
      </c>
      <c r="B3169" s="5" t="s">
        <v>2830</v>
      </c>
      <c r="C3169" s="5" t="s">
        <v>11</v>
      </c>
      <c r="D3169" s="5" t="s">
        <v>12</v>
      </c>
      <c r="E3169" s="5" t="s">
        <v>1034</v>
      </c>
    </row>
    <row r="3170" spans="1:5" x14ac:dyDescent="0.25">
      <c r="A3170" s="5">
        <f>3162</f>
      </c>
      <c r="B3170" s="5" t="s">
        <v>2830</v>
      </c>
      <c r="C3170" s="5" t="s">
        <v>11</v>
      </c>
      <c r="D3170" s="5" t="s">
        <v>12</v>
      </c>
      <c r="E3170" s="5" t="s">
        <v>1034</v>
      </c>
    </row>
    <row r="3171" spans="1:5" x14ac:dyDescent="0.25">
      <c r="A3171" s="5">
        <f>3163</f>
      </c>
      <c r="B3171" s="5" t="s">
        <v>2831</v>
      </c>
      <c r="C3171" s="5" t="s">
        <v>11</v>
      </c>
      <c r="D3171" s="5" t="s">
        <v>12</v>
      </c>
      <c r="E3171" s="5" t="s">
        <v>732</v>
      </c>
    </row>
    <row r="3172" spans="1:5" x14ac:dyDescent="0.25">
      <c r="A3172" s="5">
        <f>3164</f>
      </c>
      <c r="B3172" s="5" t="s">
        <v>2831</v>
      </c>
      <c r="C3172" s="5" t="s">
        <v>11</v>
      </c>
      <c r="D3172" s="5" t="s">
        <v>12</v>
      </c>
      <c r="E3172" s="5" t="s">
        <v>732</v>
      </c>
    </row>
    <row r="3173" spans="1:5" x14ac:dyDescent="0.25">
      <c r="A3173" s="5">
        <f>3165</f>
      </c>
      <c r="B3173" s="5" t="s">
        <v>2832</v>
      </c>
      <c r="C3173" s="5" t="s">
        <v>11</v>
      </c>
      <c r="D3173" s="5" t="s">
        <v>12</v>
      </c>
      <c r="E3173" s="5" t="s">
        <v>2402</v>
      </c>
    </row>
    <row r="3174" spans="1:5" x14ac:dyDescent="0.25">
      <c r="A3174" s="5">
        <f>3166</f>
      </c>
      <c r="B3174" s="5" t="s">
        <v>2832</v>
      </c>
      <c r="C3174" s="5" t="s">
        <v>11</v>
      </c>
      <c r="D3174" s="5" t="s">
        <v>12</v>
      </c>
      <c r="E3174" s="5" t="s">
        <v>2402</v>
      </c>
    </row>
    <row r="3175" spans="1:5" x14ac:dyDescent="0.25">
      <c r="A3175" s="5">
        <f>3167</f>
      </c>
      <c r="B3175" s="5" t="s">
        <v>2833</v>
      </c>
      <c r="C3175" s="5" t="s">
        <v>11</v>
      </c>
      <c r="D3175" s="5" t="s">
        <v>12</v>
      </c>
      <c r="E3175" s="5" t="s">
        <v>2829</v>
      </c>
    </row>
    <row r="3176" spans="1:5" x14ac:dyDescent="0.25">
      <c r="A3176" s="5">
        <f>3168</f>
      </c>
      <c r="B3176" s="5" t="s">
        <v>2833</v>
      </c>
      <c r="C3176" s="5" t="s">
        <v>11</v>
      </c>
      <c r="D3176" s="5" t="s">
        <v>12</v>
      </c>
      <c r="E3176" s="5" t="s">
        <v>2829</v>
      </c>
    </row>
    <row r="3177" spans="1:5" x14ac:dyDescent="0.25">
      <c r="A3177" s="5">
        <f>3169</f>
      </c>
      <c r="B3177" s="5" t="s">
        <v>2834</v>
      </c>
      <c r="C3177" s="5" t="s">
        <v>11</v>
      </c>
      <c r="D3177" s="5" t="s">
        <v>12</v>
      </c>
      <c r="E3177" s="5" t="s">
        <v>969</v>
      </c>
    </row>
    <row r="3178" spans="1:5" x14ac:dyDescent="0.25">
      <c r="A3178" s="5">
        <f>3170</f>
      </c>
      <c r="B3178" s="5" t="s">
        <v>2834</v>
      </c>
      <c r="C3178" s="5" t="s">
        <v>11</v>
      </c>
      <c r="D3178" s="5" t="s">
        <v>12</v>
      </c>
      <c r="E3178" s="5" t="s">
        <v>969</v>
      </c>
    </row>
    <row r="3179" spans="1:5" x14ac:dyDescent="0.25">
      <c r="A3179" s="5">
        <f>3171</f>
      </c>
      <c r="B3179" s="5" t="s">
        <v>2835</v>
      </c>
      <c r="C3179" s="5" t="s">
        <v>11</v>
      </c>
      <c r="D3179" s="5" t="s">
        <v>12</v>
      </c>
      <c r="E3179" s="5" t="s">
        <v>2819</v>
      </c>
    </row>
    <row r="3180" spans="1:5" x14ac:dyDescent="0.25">
      <c r="A3180" s="5">
        <f>3172</f>
      </c>
      <c r="B3180" s="5" t="s">
        <v>2835</v>
      </c>
      <c r="C3180" s="5" t="s">
        <v>11</v>
      </c>
      <c r="D3180" s="5" t="s">
        <v>12</v>
      </c>
      <c r="E3180" s="5" t="s">
        <v>2819</v>
      </c>
    </row>
    <row r="3181" spans="1:5" x14ac:dyDescent="0.25">
      <c r="A3181" s="5">
        <f>3173</f>
      </c>
      <c r="B3181" s="5" t="s">
        <v>2836</v>
      </c>
      <c r="C3181" s="5" t="s">
        <v>11</v>
      </c>
      <c r="D3181" s="5" t="s">
        <v>12</v>
      </c>
      <c r="E3181" s="5" t="s">
        <v>941</v>
      </c>
    </row>
    <row r="3182" spans="1:5" x14ac:dyDescent="0.25">
      <c r="A3182" s="5">
        <f>3174</f>
      </c>
      <c r="B3182" s="5" t="s">
        <v>2836</v>
      </c>
      <c r="C3182" s="5" t="s">
        <v>11</v>
      </c>
      <c r="D3182" s="5" t="s">
        <v>12</v>
      </c>
      <c r="E3182" s="5" t="s">
        <v>941</v>
      </c>
    </row>
    <row r="3183" spans="1:5" x14ac:dyDescent="0.25">
      <c r="A3183" s="5">
        <f>3175</f>
      </c>
      <c r="B3183" s="5" t="s">
        <v>2837</v>
      </c>
      <c r="C3183" s="5" t="s">
        <v>11</v>
      </c>
      <c r="D3183" s="5" t="s">
        <v>12</v>
      </c>
      <c r="E3183" s="5" t="s">
        <v>873</v>
      </c>
    </row>
    <row r="3184" spans="1:5" x14ac:dyDescent="0.25">
      <c r="A3184" s="5">
        <f>3176</f>
      </c>
      <c r="B3184" s="5" t="s">
        <v>2837</v>
      </c>
      <c r="C3184" s="5" t="s">
        <v>11</v>
      </c>
      <c r="D3184" s="5" t="s">
        <v>12</v>
      </c>
      <c r="E3184" s="5" t="s">
        <v>873</v>
      </c>
    </row>
    <row r="3185" spans="1:5" x14ac:dyDescent="0.25">
      <c r="A3185" s="5">
        <f>3177</f>
      </c>
      <c r="B3185" s="5" t="s">
        <v>2838</v>
      </c>
      <c r="C3185" s="5" t="s">
        <v>11</v>
      </c>
      <c r="D3185" s="5" t="s">
        <v>12</v>
      </c>
      <c r="E3185" s="5" t="s">
        <v>2322</v>
      </c>
    </row>
    <row r="3186" spans="1:5" x14ac:dyDescent="0.25">
      <c r="A3186" s="5">
        <f>3178</f>
      </c>
      <c r="B3186" s="5" t="s">
        <v>2838</v>
      </c>
      <c r="C3186" s="5" t="s">
        <v>11</v>
      </c>
      <c r="D3186" s="5" t="s">
        <v>12</v>
      </c>
      <c r="E3186" s="5" t="s">
        <v>2322</v>
      </c>
    </row>
    <row r="3187" spans="1:5" x14ac:dyDescent="0.25">
      <c r="A3187" s="5">
        <f>3179</f>
      </c>
      <c r="B3187" s="5" t="s">
        <v>2839</v>
      </c>
      <c r="C3187" s="5" t="s">
        <v>11</v>
      </c>
      <c r="D3187" s="5" t="s">
        <v>12</v>
      </c>
      <c r="E3187" s="5" t="s">
        <v>2840</v>
      </c>
    </row>
    <row r="3188" spans="1:5" x14ac:dyDescent="0.25">
      <c r="A3188" s="5">
        <f>3180</f>
      </c>
      <c r="B3188" s="5" t="s">
        <v>2839</v>
      </c>
      <c r="C3188" s="5" t="s">
        <v>11</v>
      </c>
      <c r="D3188" s="5" t="s">
        <v>12</v>
      </c>
      <c r="E3188" s="5" t="s">
        <v>2840</v>
      </c>
    </row>
    <row r="3189" spans="1:5" x14ac:dyDescent="0.25">
      <c r="A3189" s="5">
        <f>3181</f>
      </c>
      <c r="B3189" s="5" t="s">
        <v>2841</v>
      </c>
      <c r="C3189" s="5" t="s">
        <v>11</v>
      </c>
      <c r="D3189" s="5" t="s">
        <v>12</v>
      </c>
      <c r="E3189" s="5" t="s">
        <v>954</v>
      </c>
    </row>
    <row r="3190" spans="1:5" x14ac:dyDescent="0.25">
      <c r="A3190" s="5">
        <f>3182</f>
      </c>
      <c r="B3190" s="5" t="s">
        <v>2841</v>
      </c>
      <c r="C3190" s="5" t="s">
        <v>11</v>
      </c>
      <c r="D3190" s="5" t="s">
        <v>12</v>
      </c>
      <c r="E3190" s="5" t="s">
        <v>954</v>
      </c>
    </row>
    <row r="3191" spans="1:5" x14ac:dyDescent="0.25">
      <c r="A3191" s="5">
        <f>3183</f>
      </c>
      <c r="B3191" s="5" t="s">
        <v>2842</v>
      </c>
      <c r="C3191" s="5" t="s">
        <v>11</v>
      </c>
      <c r="D3191" s="5" t="s">
        <v>12</v>
      </c>
      <c r="E3191" s="5" t="s">
        <v>2249</v>
      </c>
    </row>
    <row r="3192" spans="1:5" x14ac:dyDescent="0.25">
      <c r="A3192" s="5">
        <f>3184</f>
      </c>
      <c r="B3192" s="5" t="s">
        <v>2842</v>
      </c>
      <c r="C3192" s="5" t="s">
        <v>11</v>
      </c>
      <c r="D3192" s="5" t="s">
        <v>12</v>
      </c>
      <c r="E3192" s="5" t="s">
        <v>2249</v>
      </c>
    </row>
    <row r="3193" spans="1:5" x14ac:dyDescent="0.25">
      <c r="A3193" s="5">
        <f>3185</f>
      </c>
      <c r="B3193" s="5" t="s">
        <v>2843</v>
      </c>
      <c r="C3193" s="5" t="s">
        <v>11</v>
      </c>
      <c r="D3193" s="5" t="s">
        <v>12</v>
      </c>
      <c r="E3193" s="5" t="s">
        <v>2844</v>
      </c>
    </row>
    <row r="3194" spans="1:5" x14ac:dyDescent="0.25">
      <c r="A3194" s="5">
        <f>3186</f>
      </c>
      <c r="B3194" s="5" t="s">
        <v>2843</v>
      </c>
      <c r="C3194" s="5" t="s">
        <v>11</v>
      </c>
      <c r="D3194" s="5" t="s">
        <v>12</v>
      </c>
      <c r="E3194" s="5" t="s">
        <v>2844</v>
      </c>
    </row>
    <row r="3195" spans="1:5" x14ac:dyDescent="0.25">
      <c r="A3195" s="5">
        <f>3187</f>
      </c>
      <c r="B3195" s="5" t="s">
        <v>2845</v>
      </c>
      <c r="C3195" s="5" t="s">
        <v>11</v>
      </c>
      <c r="D3195" s="5" t="s">
        <v>12</v>
      </c>
      <c r="E3195" s="5" t="s">
        <v>2844</v>
      </c>
    </row>
    <row r="3196" spans="1:5" x14ac:dyDescent="0.25">
      <c r="A3196" s="5">
        <f>3188</f>
      </c>
      <c r="B3196" s="5" t="s">
        <v>2845</v>
      </c>
      <c r="C3196" s="5" t="s">
        <v>11</v>
      </c>
      <c r="D3196" s="5" t="s">
        <v>12</v>
      </c>
      <c r="E3196" s="5" t="s">
        <v>2844</v>
      </c>
    </row>
    <row r="3197" spans="1:5" x14ac:dyDescent="0.25">
      <c r="A3197" s="5">
        <f>3189</f>
      </c>
      <c r="B3197" s="5" t="s">
        <v>2846</v>
      </c>
      <c r="C3197" s="5" t="s">
        <v>11</v>
      </c>
      <c r="D3197" s="5" t="s">
        <v>12</v>
      </c>
      <c r="E3197" s="5" t="s">
        <v>2844</v>
      </c>
    </row>
    <row r="3198" spans="1:5" x14ac:dyDescent="0.25">
      <c r="A3198" s="5">
        <f>3190</f>
      </c>
      <c r="B3198" s="5" t="s">
        <v>2846</v>
      </c>
      <c r="C3198" s="5" t="s">
        <v>11</v>
      </c>
      <c r="D3198" s="5" t="s">
        <v>12</v>
      </c>
      <c r="E3198" s="5" t="s">
        <v>2844</v>
      </c>
    </row>
    <row r="3199" spans="1:5" x14ac:dyDescent="0.25">
      <c r="A3199" s="5">
        <f>3191</f>
      </c>
      <c r="B3199" s="5" t="s">
        <v>2847</v>
      </c>
      <c r="C3199" s="5" t="s">
        <v>11</v>
      </c>
      <c r="D3199" s="5" t="s">
        <v>12</v>
      </c>
      <c r="E3199" s="5" t="s">
        <v>2844</v>
      </c>
    </row>
    <row r="3200" spans="1:5" x14ac:dyDescent="0.25">
      <c r="A3200" s="5">
        <f>3192</f>
      </c>
      <c r="B3200" s="5" t="s">
        <v>2847</v>
      </c>
      <c r="C3200" s="5" t="s">
        <v>11</v>
      </c>
      <c r="D3200" s="5" t="s">
        <v>12</v>
      </c>
      <c r="E3200" s="5" t="s">
        <v>2844</v>
      </c>
    </row>
    <row r="3201" spans="1:5" x14ac:dyDescent="0.25">
      <c r="A3201" s="5">
        <f>3193</f>
      </c>
      <c r="B3201" s="5" t="s">
        <v>2848</v>
      </c>
      <c r="C3201" s="5" t="s">
        <v>11</v>
      </c>
      <c r="D3201" s="5" t="s">
        <v>12</v>
      </c>
      <c r="E3201" s="5" t="s">
        <v>2844</v>
      </c>
    </row>
    <row r="3202" spans="1:5" x14ac:dyDescent="0.25">
      <c r="A3202" s="5">
        <f>3194</f>
      </c>
      <c r="B3202" s="5" t="s">
        <v>2848</v>
      </c>
      <c r="C3202" s="5" t="s">
        <v>11</v>
      </c>
      <c r="D3202" s="5" t="s">
        <v>12</v>
      </c>
      <c r="E3202" s="5" t="s">
        <v>2844</v>
      </c>
    </row>
    <row r="3203" spans="1:5" x14ac:dyDescent="0.25">
      <c r="A3203" s="5">
        <f>3195</f>
      </c>
      <c r="B3203" s="5" t="s">
        <v>2849</v>
      </c>
      <c r="C3203" s="5" t="s">
        <v>11</v>
      </c>
      <c r="D3203" s="5" t="s">
        <v>12</v>
      </c>
      <c r="E3203" s="5" t="s">
        <v>2844</v>
      </c>
    </row>
    <row r="3204" spans="1:5" x14ac:dyDescent="0.25">
      <c r="A3204" s="5">
        <f>3196</f>
      </c>
      <c r="B3204" s="5" t="s">
        <v>2849</v>
      </c>
      <c r="C3204" s="5" t="s">
        <v>11</v>
      </c>
      <c r="D3204" s="5" t="s">
        <v>12</v>
      </c>
      <c r="E3204" s="5" t="s">
        <v>2844</v>
      </c>
    </row>
    <row r="3205" spans="1:5" x14ac:dyDescent="0.25">
      <c r="A3205" s="5">
        <f>3197</f>
      </c>
      <c r="B3205" s="5" t="s">
        <v>2850</v>
      </c>
      <c r="C3205" s="5" t="s">
        <v>11</v>
      </c>
      <c r="D3205" s="5" t="s">
        <v>12</v>
      </c>
      <c r="E3205" s="5" t="s">
        <v>2844</v>
      </c>
    </row>
    <row r="3206" spans="1:5" x14ac:dyDescent="0.25">
      <c r="A3206" s="5">
        <f>3198</f>
      </c>
      <c r="B3206" s="5" t="s">
        <v>2850</v>
      </c>
      <c r="C3206" s="5" t="s">
        <v>11</v>
      </c>
      <c r="D3206" s="5" t="s">
        <v>12</v>
      </c>
      <c r="E3206" s="5" t="s">
        <v>2844</v>
      </c>
    </row>
    <row r="3207" spans="1:5" x14ac:dyDescent="0.25">
      <c r="A3207" s="5">
        <f>3199</f>
      </c>
      <c r="B3207" s="5" t="s">
        <v>2851</v>
      </c>
      <c r="C3207" s="5" t="s">
        <v>11</v>
      </c>
      <c r="D3207" s="5" t="s">
        <v>12</v>
      </c>
      <c r="E3207" s="5" t="s">
        <v>2844</v>
      </c>
    </row>
    <row r="3208" spans="1:5" x14ac:dyDescent="0.25">
      <c r="A3208" s="5">
        <f>3200</f>
      </c>
      <c r="B3208" s="5" t="s">
        <v>2851</v>
      </c>
      <c r="C3208" s="5" t="s">
        <v>11</v>
      </c>
      <c r="D3208" s="5" t="s">
        <v>12</v>
      </c>
      <c r="E3208" s="5" t="s">
        <v>2844</v>
      </c>
    </row>
    <row r="3209" spans="1:5" x14ac:dyDescent="0.25">
      <c r="A3209" s="5">
        <f>3201</f>
      </c>
      <c r="B3209" s="5" t="s">
        <v>2852</v>
      </c>
      <c r="C3209" s="5" t="s">
        <v>11</v>
      </c>
      <c r="D3209" s="5" t="s">
        <v>12</v>
      </c>
      <c r="E3209" s="5" t="s">
        <v>2844</v>
      </c>
    </row>
    <row r="3210" spans="1:5" x14ac:dyDescent="0.25">
      <c r="A3210" s="5">
        <f>3202</f>
      </c>
      <c r="B3210" s="5" t="s">
        <v>2852</v>
      </c>
      <c r="C3210" s="5" t="s">
        <v>11</v>
      </c>
      <c r="D3210" s="5" t="s">
        <v>12</v>
      </c>
      <c r="E3210" s="5" t="s">
        <v>2844</v>
      </c>
    </row>
    <row r="3211" spans="1:5" x14ac:dyDescent="0.25">
      <c r="A3211" s="5">
        <f>3203</f>
      </c>
      <c r="B3211" s="5" t="s">
        <v>2853</v>
      </c>
      <c r="C3211" s="5" t="s">
        <v>11</v>
      </c>
      <c r="D3211" s="5" t="s">
        <v>12</v>
      </c>
      <c r="E3211" s="5" t="s">
        <v>2844</v>
      </c>
    </row>
    <row r="3212" spans="1:5" x14ac:dyDescent="0.25">
      <c r="A3212" s="5">
        <f>3204</f>
      </c>
      <c r="B3212" s="5" t="s">
        <v>2853</v>
      </c>
      <c r="C3212" s="5" t="s">
        <v>11</v>
      </c>
      <c r="D3212" s="5" t="s">
        <v>12</v>
      </c>
      <c r="E3212" s="5" t="s">
        <v>2844</v>
      </c>
    </row>
    <row r="3213" spans="1:5" x14ac:dyDescent="0.25">
      <c r="A3213" s="5">
        <f>3205</f>
      </c>
      <c r="B3213" s="5" t="s">
        <v>2854</v>
      </c>
      <c r="C3213" s="5" t="s">
        <v>11</v>
      </c>
      <c r="D3213" s="5" t="s">
        <v>12</v>
      </c>
      <c r="E3213" s="5" t="s">
        <v>2844</v>
      </c>
    </row>
    <row r="3214" spans="1:5" x14ac:dyDescent="0.25">
      <c r="A3214" s="5">
        <f>3206</f>
      </c>
      <c r="B3214" s="5" t="s">
        <v>2854</v>
      </c>
      <c r="C3214" s="5" t="s">
        <v>11</v>
      </c>
      <c r="D3214" s="5" t="s">
        <v>12</v>
      </c>
      <c r="E3214" s="5" t="s">
        <v>2844</v>
      </c>
    </row>
    <row r="3215" spans="1:5" x14ac:dyDescent="0.25">
      <c r="A3215" s="5">
        <f>3207</f>
      </c>
      <c r="B3215" s="5" t="s">
        <v>2855</v>
      </c>
      <c r="C3215" s="5" t="s">
        <v>11</v>
      </c>
      <c r="D3215" s="5" t="s">
        <v>12</v>
      </c>
      <c r="E3215" s="5" t="s">
        <v>2844</v>
      </c>
    </row>
    <row r="3216" spans="1:5" x14ac:dyDescent="0.25">
      <c r="A3216" s="5">
        <f>3208</f>
      </c>
      <c r="B3216" s="5" t="s">
        <v>2855</v>
      </c>
      <c r="C3216" s="5" t="s">
        <v>11</v>
      </c>
      <c r="D3216" s="5" t="s">
        <v>12</v>
      </c>
      <c r="E3216" s="5" t="s">
        <v>2844</v>
      </c>
    </row>
    <row r="3217" spans="1:5" x14ac:dyDescent="0.25">
      <c r="A3217" s="5">
        <f>3209</f>
      </c>
      <c r="B3217" s="5" t="s">
        <v>2856</v>
      </c>
      <c r="C3217" s="5" t="s">
        <v>11</v>
      </c>
      <c r="D3217" s="5" t="s">
        <v>12</v>
      </c>
      <c r="E3217" s="5" t="s">
        <v>2844</v>
      </c>
    </row>
    <row r="3218" spans="1:5" x14ac:dyDescent="0.25">
      <c r="A3218" s="5">
        <f>3210</f>
      </c>
      <c r="B3218" s="5" t="s">
        <v>2856</v>
      </c>
      <c r="C3218" s="5" t="s">
        <v>11</v>
      </c>
      <c r="D3218" s="5" t="s">
        <v>12</v>
      </c>
      <c r="E3218" s="5" t="s">
        <v>2844</v>
      </c>
    </row>
    <row r="3219" spans="1:5" x14ac:dyDescent="0.25">
      <c r="A3219" s="5">
        <f>3211</f>
      </c>
      <c r="B3219" s="5" t="s">
        <v>2857</v>
      </c>
      <c r="C3219" s="5" t="s">
        <v>11</v>
      </c>
      <c r="D3219" s="5" t="s">
        <v>12</v>
      </c>
      <c r="E3219" s="5" t="s">
        <v>2844</v>
      </c>
    </row>
    <row r="3220" spans="1:5" x14ac:dyDescent="0.25">
      <c r="A3220" s="5">
        <f>3212</f>
      </c>
      <c r="B3220" s="5" t="s">
        <v>2857</v>
      </c>
      <c r="C3220" s="5" t="s">
        <v>11</v>
      </c>
      <c r="D3220" s="5" t="s">
        <v>12</v>
      </c>
      <c r="E3220" s="5" t="s">
        <v>2844</v>
      </c>
    </row>
    <row r="3221" spans="1:5" x14ac:dyDescent="0.25">
      <c r="A3221" s="5">
        <f>3213</f>
      </c>
      <c r="B3221" s="5" t="s">
        <v>2858</v>
      </c>
      <c r="C3221" s="5" t="s">
        <v>11</v>
      </c>
      <c r="D3221" s="5" t="s">
        <v>12</v>
      </c>
      <c r="E3221" s="5" t="s">
        <v>2844</v>
      </c>
    </row>
    <row r="3222" spans="1:5" x14ac:dyDescent="0.25">
      <c r="A3222" s="5">
        <f>3214</f>
      </c>
      <c r="B3222" s="5" t="s">
        <v>2858</v>
      </c>
      <c r="C3222" s="5" t="s">
        <v>11</v>
      </c>
      <c r="D3222" s="5" t="s">
        <v>12</v>
      </c>
      <c r="E3222" s="5" t="s">
        <v>2844</v>
      </c>
    </row>
    <row r="3223" spans="1:5" x14ac:dyDescent="0.25">
      <c r="A3223" s="5">
        <f>3215</f>
      </c>
      <c r="B3223" s="5" t="s">
        <v>2859</v>
      </c>
      <c r="C3223" s="5" t="s">
        <v>11</v>
      </c>
      <c r="D3223" s="5" t="s">
        <v>12</v>
      </c>
      <c r="E3223" s="5" t="s">
        <v>2844</v>
      </c>
    </row>
    <row r="3224" spans="1:5" x14ac:dyDescent="0.25">
      <c r="A3224" s="5">
        <f>3216</f>
      </c>
      <c r="B3224" s="5" t="s">
        <v>2859</v>
      </c>
      <c r="C3224" s="5" t="s">
        <v>11</v>
      </c>
      <c r="D3224" s="5" t="s">
        <v>12</v>
      </c>
      <c r="E3224" s="5" t="s">
        <v>2844</v>
      </c>
    </row>
    <row r="3225" spans="1:5" x14ac:dyDescent="0.25">
      <c r="A3225" s="5">
        <f>3217</f>
      </c>
      <c r="B3225" s="5" t="s">
        <v>2860</v>
      </c>
      <c r="C3225" s="5" t="s">
        <v>11</v>
      </c>
      <c r="D3225" s="5" t="s">
        <v>12</v>
      </c>
      <c r="E3225" s="5" t="s">
        <v>2844</v>
      </c>
    </row>
    <row r="3226" spans="1:5" x14ac:dyDescent="0.25">
      <c r="A3226" s="5">
        <f>3218</f>
      </c>
      <c r="B3226" s="5" t="s">
        <v>2860</v>
      </c>
      <c r="C3226" s="5" t="s">
        <v>11</v>
      </c>
      <c r="D3226" s="5" t="s">
        <v>12</v>
      </c>
      <c r="E3226" s="5" t="s">
        <v>2844</v>
      </c>
    </row>
    <row r="3227" spans="1:5" x14ac:dyDescent="0.25">
      <c r="A3227" s="5">
        <f>3219</f>
      </c>
      <c r="B3227" s="5" t="s">
        <v>2861</v>
      </c>
      <c r="C3227" s="5" t="s">
        <v>11</v>
      </c>
      <c r="D3227" s="5" t="s">
        <v>12</v>
      </c>
      <c r="E3227" s="5" t="s">
        <v>2844</v>
      </c>
    </row>
    <row r="3228" spans="1:5" x14ac:dyDescent="0.25">
      <c r="A3228" s="5">
        <f>3220</f>
      </c>
      <c r="B3228" s="5" t="s">
        <v>2861</v>
      </c>
      <c r="C3228" s="5" t="s">
        <v>11</v>
      </c>
      <c r="D3228" s="5" t="s">
        <v>12</v>
      </c>
      <c r="E3228" s="5" t="s">
        <v>2844</v>
      </c>
    </row>
    <row r="3229" spans="1:5" x14ac:dyDescent="0.25">
      <c r="A3229" s="5">
        <f>3221</f>
      </c>
      <c r="B3229" s="5" t="s">
        <v>2862</v>
      </c>
      <c r="C3229" s="5" t="s">
        <v>11</v>
      </c>
      <c r="D3229" s="5" t="s">
        <v>12</v>
      </c>
      <c r="E3229" s="5" t="s">
        <v>2844</v>
      </c>
    </row>
    <row r="3230" spans="1:5" x14ac:dyDescent="0.25">
      <c r="A3230" s="5">
        <f>3222</f>
      </c>
      <c r="B3230" s="5" t="s">
        <v>2862</v>
      </c>
      <c r="C3230" s="5" t="s">
        <v>11</v>
      </c>
      <c r="D3230" s="5" t="s">
        <v>12</v>
      </c>
      <c r="E3230" s="5" t="s">
        <v>2844</v>
      </c>
    </row>
    <row r="3231" spans="1:5" x14ac:dyDescent="0.25">
      <c r="A3231" s="5">
        <f>3223</f>
      </c>
      <c r="B3231" s="5" t="s">
        <v>2863</v>
      </c>
      <c r="C3231" s="5" t="s">
        <v>11</v>
      </c>
      <c r="D3231" s="5" t="s">
        <v>12</v>
      </c>
      <c r="E3231" s="5" t="s">
        <v>2844</v>
      </c>
    </row>
    <row r="3232" spans="1:5" x14ac:dyDescent="0.25">
      <c r="A3232" s="5">
        <f>3224</f>
      </c>
      <c r="B3232" s="5" t="s">
        <v>2863</v>
      </c>
      <c r="C3232" s="5" t="s">
        <v>11</v>
      </c>
      <c r="D3232" s="5" t="s">
        <v>12</v>
      </c>
      <c r="E3232" s="5" t="s">
        <v>2844</v>
      </c>
    </row>
    <row r="3233" spans="1:5" x14ac:dyDescent="0.25">
      <c r="A3233" s="5">
        <f>3225</f>
      </c>
      <c r="B3233" s="5" t="s">
        <v>2864</v>
      </c>
      <c r="C3233" s="5" t="s">
        <v>11</v>
      </c>
      <c r="D3233" s="5" t="s">
        <v>12</v>
      </c>
      <c r="E3233" s="5" t="s">
        <v>2844</v>
      </c>
    </row>
    <row r="3234" spans="1:5" x14ac:dyDescent="0.25">
      <c r="A3234" s="5">
        <f>3226</f>
      </c>
      <c r="B3234" s="5" t="s">
        <v>2864</v>
      </c>
      <c r="C3234" s="5" t="s">
        <v>11</v>
      </c>
      <c r="D3234" s="5" t="s">
        <v>12</v>
      </c>
      <c r="E3234" s="5" t="s">
        <v>2844</v>
      </c>
    </row>
    <row r="3235" spans="1:5" x14ac:dyDescent="0.25">
      <c r="A3235" s="5">
        <f>3227</f>
      </c>
      <c r="B3235" s="5" t="s">
        <v>2865</v>
      </c>
      <c r="C3235" s="5" t="s">
        <v>11</v>
      </c>
      <c r="D3235" s="5" t="s">
        <v>12</v>
      </c>
      <c r="E3235" s="5" t="s">
        <v>941</v>
      </c>
    </row>
    <row r="3236" spans="1:5" x14ac:dyDescent="0.25">
      <c r="A3236" s="5">
        <f>3228</f>
      </c>
      <c r="B3236" s="5" t="s">
        <v>2865</v>
      </c>
      <c r="C3236" s="5" t="s">
        <v>11</v>
      </c>
      <c r="D3236" s="5" t="s">
        <v>12</v>
      </c>
      <c r="E3236" s="5" t="s">
        <v>941</v>
      </c>
    </row>
    <row r="3237" spans="1:5" x14ac:dyDescent="0.25">
      <c r="A3237" s="5">
        <f>3229</f>
      </c>
      <c r="B3237" s="5" t="s">
        <v>2866</v>
      </c>
      <c r="C3237" s="5" t="s">
        <v>11</v>
      </c>
      <c r="D3237" s="5" t="s">
        <v>12</v>
      </c>
      <c r="E3237" s="5" t="s">
        <v>941</v>
      </c>
    </row>
    <row r="3238" spans="1:5" x14ac:dyDescent="0.25">
      <c r="A3238" s="5">
        <f>3230</f>
      </c>
      <c r="B3238" s="5" t="s">
        <v>2866</v>
      </c>
      <c r="C3238" s="5" t="s">
        <v>11</v>
      </c>
      <c r="D3238" s="5" t="s">
        <v>12</v>
      </c>
      <c r="E3238" s="5" t="s">
        <v>941</v>
      </c>
    </row>
    <row r="3239" spans="1:5" x14ac:dyDescent="0.25">
      <c r="A3239" s="5">
        <f>3231</f>
      </c>
      <c r="B3239" s="5" t="s">
        <v>2867</v>
      </c>
      <c r="C3239" s="5" t="s">
        <v>11</v>
      </c>
      <c r="D3239" s="5" t="s">
        <v>12</v>
      </c>
      <c r="E3239" s="5" t="s">
        <v>730</v>
      </c>
    </row>
    <row r="3240" spans="1:5" x14ac:dyDescent="0.25">
      <c r="A3240" s="5">
        <f>3232</f>
      </c>
      <c r="B3240" s="5" t="s">
        <v>2867</v>
      </c>
      <c r="C3240" s="5" t="s">
        <v>11</v>
      </c>
      <c r="D3240" s="5" t="s">
        <v>12</v>
      </c>
      <c r="E3240" s="5" t="s">
        <v>730</v>
      </c>
    </row>
    <row r="3241" spans="1:5" x14ac:dyDescent="0.25">
      <c r="A3241" s="5">
        <f>3233</f>
      </c>
      <c r="B3241" s="5" t="s">
        <v>2868</v>
      </c>
      <c r="C3241" s="5" t="s">
        <v>11</v>
      </c>
      <c r="D3241" s="5" t="s">
        <v>12</v>
      </c>
      <c r="E3241" s="5" t="s">
        <v>2869</v>
      </c>
    </row>
    <row r="3242" spans="1:5" x14ac:dyDescent="0.25">
      <c r="A3242" s="5">
        <f>3234</f>
      </c>
      <c r="B3242" s="5" t="s">
        <v>2868</v>
      </c>
      <c r="C3242" s="5" t="s">
        <v>11</v>
      </c>
      <c r="D3242" s="5" t="s">
        <v>12</v>
      </c>
      <c r="E3242" s="5" t="s">
        <v>2869</v>
      </c>
    </row>
    <row r="3243" spans="1:5" x14ac:dyDescent="0.25">
      <c r="A3243" s="5">
        <f>3235</f>
      </c>
      <c r="B3243" s="5" t="s">
        <v>2870</v>
      </c>
      <c r="C3243" s="5" t="s">
        <v>11</v>
      </c>
      <c r="D3243" s="5" t="s">
        <v>12</v>
      </c>
      <c r="E3243" s="5" t="s">
        <v>734</v>
      </c>
    </row>
    <row r="3244" spans="1:5" x14ac:dyDescent="0.25">
      <c r="A3244" s="5">
        <f>3236</f>
      </c>
      <c r="B3244" s="5" t="s">
        <v>2870</v>
      </c>
      <c r="C3244" s="5" t="s">
        <v>11</v>
      </c>
      <c r="D3244" s="5" t="s">
        <v>12</v>
      </c>
      <c r="E3244" s="5" t="s">
        <v>734</v>
      </c>
    </row>
    <row r="3245" spans="1:5" x14ac:dyDescent="0.25">
      <c r="A3245" s="5">
        <f>3237</f>
      </c>
      <c r="B3245" s="5" t="s">
        <v>2871</v>
      </c>
      <c r="C3245" s="5" t="s">
        <v>11</v>
      </c>
      <c r="D3245" s="5" t="s">
        <v>12</v>
      </c>
      <c r="E3245" s="5" t="s">
        <v>957</v>
      </c>
    </row>
    <row r="3246" spans="1:5" x14ac:dyDescent="0.25">
      <c r="A3246" s="5">
        <f>3238</f>
      </c>
      <c r="B3246" s="5" t="s">
        <v>2871</v>
      </c>
      <c r="C3246" s="5" t="s">
        <v>11</v>
      </c>
      <c r="D3246" s="5" t="s">
        <v>12</v>
      </c>
      <c r="E3246" s="5" t="s">
        <v>957</v>
      </c>
    </row>
    <row r="3247" spans="1:5" x14ac:dyDescent="0.25">
      <c r="A3247" s="5">
        <f>3239</f>
      </c>
      <c r="B3247" s="5" t="s">
        <v>2872</v>
      </c>
      <c r="C3247" s="5" t="s">
        <v>11</v>
      </c>
      <c r="D3247" s="5" t="s">
        <v>12</v>
      </c>
      <c r="E3247" s="5" t="s">
        <v>2873</v>
      </c>
    </row>
    <row r="3248" spans="1:5" x14ac:dyDescent="0.25">
      <c r="A3248" s="5">
        <f>3240</f>
      </c>
      <c r="B3248" s="5" t="s">
        <v>2872</v>
      </c>
      <c r="C3248" s="5" t="s">
        <v>11</v>
      </c>
      <c r="D3248" s="5" t="s">
        <v>12</v>
      </c>
      <c r="E3248" s="5" t="s">
        <v>2873</v>
      </c>
    </row>
    <row r="3249" spans="1:5" x14ac:dyDescent="0.25">
      <c r="A3249" s="5">
        <f>3241</f>
      </c>
      <c r="B3249" s="5" t="s">
        <v>2874</v>
      </c>
      <c r="C3249" s="5" t="s">
        <v>11</v>
      </c>
      <c r="D3249" s="5" t="s">
        <v>12</v>
      </c>
      <c r="E3249" s="5" t="s">
        <v>1022</v>
      </c>
    </row>
    <row r="3250" spans="1:5" x14ac:dyDescent="0.25">
      <c r="A3250" s="5">
        <f>3242</f>
      </c>
      <c r="B3250" s="5" t="s">
        <v>2874</v>
      </c>
      <c r="C3250" s="5" t="s">
        <v>11</v>
      </c>
      <c r="D3250" s="5" t="s">
        <v>12</v>
      </c>
      <c r="E3250" s="5" t="s">
        <v>1022</v>
      </c>
    </row>
    <row r="3251" spans="1:5" x14ac:dyDescent="0.25">
      <c r="A3251" s="5">
        <f>3243</f>
      </c>
      <c r="B3251" s="5" t="s">
        <v>2875</v>
      </c>
      <c r="C3251" s="5" t="s">
        <v>11</v>
      </c>
      <c r="D3251" s="5" t="s">
        <v>12</v>
      </c>
      <c r="E3251" s="5" t="s">
        <v>2876</v>
      </c>
    </row>
    <row r="3252" spans="1:5" x14ac:dyDescent="0.25">
      <c r="A3252" s="5">
        <f>3244</f>
      </c>
      <c r="B3252" s="5" t="s">
        <v>2875</v>
      </c>
      <c r="C3252" s="5" t="s">
        <v>11</v>
      </c>
      <c r="D3252" s="5" t="s">
        <v>12</v>
      </c>
      <c r="E3252" s="5" t="s">
        <v>2876</v>
      </c>
    </row>
    <row r="3253" spans="1:5" x14ac:dyDescent="0.25">
      <c r="A3253" s="5">
        <f>3245</f>
      </c>
      <c r="B3253" s="5" t="s">
        <v>2877</v>
      </c>
      <c r="C3253" s="5" t="s">
        <v>11</v>
      </c>
      <c r="D3253" s="5" t="s">
        <v>12</v>
      </c>
      <c r="E3253" s="5" t="s">
        <v>966</v>
      </c>
    </row>
    <row r="3254" spans="1:5" x14ac:dyDescent="0.25">
      <c r="A3254" s="5">
        <f>3246</f>
      </c>
      <c r="B3254" s="5" t="s">
        <v>2877</v>
      </c>
      <c r="C3254" s="5" t="s">
        <v>11</v>
      </c>
      <c r="D3254" s="5" t="s">
        <v>12</v>
      </c>
      <c r="E3254" s="5" t="s">
        <v>966</v>
      </c>
    </row>
    <row r="3255" spans="1:5" x14ac:dyDescent="0.25">
      <c r="A3255" s="5">
        <f>3247</f>
      </c>
      <c r="B3255" s="5" t="s">
        <v>2878</v>
      </c>
      <c r="C3255" s="5" t="s">
        <v>11</v>
      </c>
      <c r="D3255" s="5" t="s">
        <v>12</v>
      </c>
      <c r="E3255" s="5" t="s">
        <v>787</v>
      </c>
    </row>
    <row r="3256" spans="1:5" x14ac:dyDescent="0.25">
      <c r="A3256" s="5">
        <f>3248</f>
      </c>
      <c r="B3256" s="5" t="s">
        <v>2878</v>
      </c>
      <c r="C3256" s="5" t="s">
        <v>11</v>
      </c>
      <c r="D3256" s="5" t="s">
        <v>12</v>
      </c>
      <c r="E3256" s="5" t="s">
        <v>787</v>
      </c>
    </row>
    <row r="3257" spans="1:5" x14ac:dyDescent="0.25">
      <c r="A3257" s="5">
        <f>3249</f>
      </c>
      <c r="B3257" s="5" t="s">
        <v>2879</v>
      </c>
      <c r="C3257" s="5" t="s">
        <v>11</v>
      </c>
      <c r="D3257" s="5" t="s">
        <v>12</v>
      </c>
      <c r="E3257" s="5" t="s">
        <v>2873</v>
      </c>
    </row>
    <row r="3258" spans="1:5" x14ac:dyDescent="0.25">
      <c r="A3258" s="5">
        <f>3250</f>
      </c>
      <c r="B3258" s="5" t="s">
        <v>2879</v>
      </c>
      <c r="C3258" s="5" t="s">
        <v>11</v>
      </c>
      <c r="D3258" s="5" t="s">
        <v>12</v>
      </c>
      <c r="E3258" s="5" t="s">
        <v>2873</v>
      </c>
    </row>
    <row r="3259" spans="1:5" x14ac:dyDescent="0.25">
      <c r="A3259" s="5">
        <f>3251</f>
      </c>
      <c r="B3259" s="5" t="s">
        <v>2880</v>
      </c>
      <c r="C3259" s="5" t="s">
        <v>11</v>
      </c>
      <c r="D3259" s="5" t="s">
        <v>12</v>
      </c>
      <c r="E3259" s="5" t="s">
        <v>2881</v>
      </c>
    </row>
    <row r="3260" spans="1:5" x14ac:dyDescent="0.25">
      <c r="A3260" s="5">
        <f>3252</f>
      </c>
      <c r="B3260" s="5" t="s">
        <v>2880</v>
      </c>
      <c r="C3260" s="5" t="s">
        <v>11</v>
      </c>
      <c r="D3260" s="5" t="s">
        <v>12</v>
      </c>
      <c r="E3260" s="5" t="s">
        <v>2881</v>
      </c>
    </row>
    <row r="3261" spans="1:5" x14ac:dyDescent="0.25">
      <c r="A3261" s="5">
        <f>3253</f>
      </c>
      <c r="B3261" s="5" t="s">
        <v>2882</v>
      </c>
      <c r="C3261" s="5" t="s">
        <v>11</v>
      </c>
      <c r="D3261" s="5" t="s">
        <v>12</v>
      </c>
      <c r="E3261" s="5" t="s">
        <v>2883</v>
      </c>
    </row>
    <row r="3262" spans="1:5" x14ac:dyDescent="0.25">
      <c r="A3262" s="5">
        <f>3254</f>
      </c>
      <c r="B3262" s="5" t="s">
        <v>2882</v>
      </c>
      <c r="C3262" s="5" t="s">
        <v>11</v>
      </c>
      <c r="D3262" s="5" t="s">
        <v>12</v>
      </c>
      <c r="E3262" s="5" t="s">
        <v>2883</v>
      </c>
    </row>
    <row r="3263" spans="1:5" x14ac:dyDescent="0.25">
      <c r="A3263" s="5">
        <f>3255</f>
      </c>
      <c r="B3263" s="5" t="s">
        <v>2884</v>
      </c>
      <c r="C3263" s="5" t="s">
        <v>11</v>
      </c>
      <c r="D3263" s="5" t="s">
        <v>12</v>
      </c>
      <c r="E3263" s="5" t="s">
        <v>2883</v>
      </c>
    </row>
    <row r="3264" spans="1:5" x14ac:dyDescent="0.25">
      <c r="A3264" s="5">
        <f>3256</f>
      </c>
      <c r="B3264" s="5" t="s">
        <v>2884</v>
      </c>
      <c r="C3264" s="5" t="s">
        <v>11</v>
      </c>
      <c r="D3264" s="5" t="s">
        <v>12</v>
      </c>
      <c r="E3264" s="5" t="s">
        <v>2883</v>
      </c>
    </row>
    <row r="3265" spans="1:5" x14ac:dyDescent="0.25">
      <c r="A3265" s="5">
        <f>3257</f>
      </c>
      <c r="B3265" s="5" t="s">
        <v>2885</v>
      </c>
      <c r="C3265" s="5" t="s">
        <v>11</v>
      </c>
      <c r="D3265" s="5" t="s">
        <v>12</v>
      </c>
      <c r="E3265" s="5" t="s">
        <v>2883</v>
      </c>
    </row>
    <row r="3266" spans="1:5" x14ac:dyDescent="0.25">
      <c r="A3266" s="5">
        <f>3258</f>
      </c>
      <c r="B3266" s="5" t="s">
        <v>2885</v>
      </c>
      <c r="C3266" s="5" t="s">
        <v>11</v>
      </c>
      <c r="D3266" s="5" t="s">
        <v>12</v>
      </c>
      <c r="E3266" s="5" t="s">
        <v>2883</v>
      </c>
    </row>
    <row r="3267" spans="1:5" x14ac:dyDescent="0.25">
      <c r="A3267" s="5">
        <f>3259</f>
      </c>
      <c r="B3267" s="5" t="s">
        <v>2886</v>
      </c>
      <c r="C3267" s="5" t="s">
        <v>11</v>
      </c>
      <c r="D3267" s="5" t="s">
        <v>12</v>
      </c>
      <c r="E3267" s="5" t="s">
        <v>2883</v>
      </c>
    </row>
    <row r="3268" spans="1:5" x14ac:dyDescent="0.25">
      <c r="A3268" s="5">
        <f>3260</f>
      </c>
      <c r="B3268" s="5" t="s">
        <v>2886</v>
      </c>
      <c r="C3268" s="5" t="s">
        <v>11</v>
      </c>
      <c r="D3268" s="5" t="s">
        <v>12</v>
      </c>
      <c r="E3268" s="5" t="s">
        <v>2883</v>
      </c>
    </row>
    <row r="3269" spans="1:5" x14ac:dyDescent="0.25">
      <c r="A3269" s="5">
        <f>3261</f>
      </c>
      <c r="B3269" s="5" t="s">
        <v>2887</v>
      </c>
      <c r="C3269" s="5" t="s">
        <v>11</v>
      </c>
      <c r="D3269" s="5" t="s">
        <v>12</v>
      </c>
      <c r="E3269" s="5" t="s">
        <v>2883</v>
      </c>
    </row>
    <row r="3270" spans="1:5" x14ac:dyDescent="0.25">
      <c r="A3270" s="5">
        <f>3262</f>
      </c>
      <c r="B3270" s="5" t="s">
        <v>2887</v>
      </c>
      <c r="C3270" s="5" t="s">
        <v>11</v>
      </c>
      <c r="D3270" s="5" t="s">
        <v>12</v>
      </c>
      <c r="E3270" s="5" t="s">
        <v>2883</v>
      </c>
    </row>
    <row r="3271" spans="1:5" x14ac:dyDescent="0.25">
      <c r="A3271" s="5">
        <f>3263</f>
      </c>
      <c r="B3271" s="5" t="s">
        <v>2888</v>
      </c>
      <c r="C3271" s="5" t="s">
        <v>11</v>
      </c>
      <c r="D3271" s="5" t="s">
        <v>12</v>
      </c>
      <c r="E3271" s="5" t="s">
        <v>2883</v>
      </c>
    </row>
    <row r="3272" spans="1:5" x14ac:dyDescent="0.25">
      <c r="A3272" s="5">
        <f>3264</f>
      </c>
      <c r="B3272" s="5" t="s">
        <v>2888</v>
      </c>
      <c r="C3272" s="5" t="s">
        <v>11</v>
      </c>
      <c r="D3272" s="5" t="s">
        <v>12</v>
      </c>
      <c r="E3272" s="5" t="s">
        <v>2883</v>
      </c>
    </row>
    <row r="3273" spans="1:5" x14ac:dyDescent="0.25">
      <c r="A3273" s="5">
        <f>3265</f>
      </c>
      <c r="B3273" s="5" t="s">
        <v>2889</v>
      </c>
      <c r="C3273" s="5" t="s">
        <v>11</v>
      </c>
      <c r="D3273" s="5" t="s">
        <v>12</v>
      </c>
      <c r="E3273" s="5" t="s">
        <v>2883</v>
      </c>
    </row>
    <row r="3274" spans="1:5" x14ac:dyDescent="0.25">
      <c r="A3274" s="5">
        <f>3266</f>
      </c>
      <c r="B3274" s="5" t="s">
        <v>2889</v>
      </c>
      <c r="C3274" s="5" t="s">
        <v>11</v>
      </c>
      <c r="D3274" s="5" t="s">
        <v>12</v>
      </c>
      <c r="E3274" s="5" t="s">
        <v>2883</v>
      </c>
    </row>
    <row r="3275" spans="1:5" x14ac:dyDescent="0.25">
      <c r="A3275" s="5">
        <f>3267</f>
      </c>
      <c r="B3275" s="5" t="s">
        <v>2890</v>
      </c>
      <c r="C3275" s="5" t="s">
        <v>11</v>
      </c>
      <c r="D3275" s="5" t="s">
        <v>12</v>
      </c>
      <c r="E3275" s="5" t="s">
        <v>2883</v>
      </c>
    </row>
    <row r="3276" spans="1:5" x14ac:dyDescent="0.25">
      <c r="A3276" s="5">
        <f>3268</f>
      </c>
      <c r="B3276" s="5" t="s">
        <v>2890</v>
      </c>
      <c r="C3276" s="5" t="s">
        <v>11</v>
      </c>
      <c r="D3276" s="5" t="s">
        <v>12</v>
      </c>
      <c r="E3276" s="5" t="s">
        <v>2883</v>
      </c>
    </row>
    <row r="3277" spans="1:5" x14ac:dyDescent="0.25">
      <c r="A3277" s="5">
        <f>3269</f>
      </c>
      <c r="B3277" s="5" t="s">
        <v>2891</v>
      </c>
      <c r="C3277" s="5" t="s">
        <v>11</v>
      </c>
      <c r="D3277" s="5" t="s">
        <v>12</v>
      </c>
      <c r="E3277" s="5" t="s">
        <v>2883</v>
      </c>
    </row>
    <row r="3278" spans="1:5" x14ac:dyDescent="0.25">
      <c r="A3278" s="5">
        <f>3270</f>
      </c>
      <c r="B3278" s="5" t="s">
        <v>2891</v>
      </c>
      <c r="C3278" s="5" t="s">
        <v>11</v>
      </c>
      <c r="D3278" s="5" t="s">
        <v>12</v>
      </c>
      <c r="E3278" s="5" t="s">
        <v>2883</v>
      </c>
    </row>
    <row r="3279" spans="1:5" x14ac:dyDescent="0.25">
      <c r="A3279" s="5">
        <f>3271</f>
      </c>
      <c r="B3279" s="5" t="s">
        <v>2892</v>
      </c>
      <c r="C3279" s="5" t="s">
        <v>11</v>
      </c>
      <c r="D3279" s="5" t="s">
        <v>12</v>
      </c>
      <c r="E3279" s="5" t="s">
        <v>2883</v>
      </c>
    </row>
    <row r="3280" spans="1:5" x14ac:dyDescent="0.25">
      <c r="A3280" s="5">
        <f>3272</f>
      </c>
      <c r="B3280" s="5" t="s">
        <v>2892</v>
      </c>
      <c r="C3280" s="5" t="s">
        <v>11</v>
      </c>
      <c r="D3280" s="5" t="s">
        <v>12</v>
      </c>
      <c r="E3280" s="5" t="s">
        <v>2883</v>
      </c>
    </row>
    <row r="3281" spans="1:5" x14ac:dyDescent="0.25">
      <c r="A3281" s="5">
        <f>3273</f>
      </c>
      <c r="B3281" s="5" t="s">
        <v>2893</v>
      </c>
      <c r="C3281" s="5" t="s">
        <v>11</v>
      </c>
      <c r="D3281" s="5" t="s">
        <v>12</v>
      </c>
      <c r="E3281" s="5" t="s">
        <v>2883</v>
      </c>
    </row>
    <row r="3282" spans="1:5" x14ac:dyDescent="0.25">
      <c r="A3282" s="5">
        <f>3274</f>
      </c>
      <c r="B3282" s="5" t="s">
        <v>2893</v>
      </c>
      <c r="C3282" s="5" t="s">
        <v>11</v>
      </c>
      <c r="D3282" s="5" t="s">
        <v>12</v>
      </c>
      <c r="E3282" s="5" t="s">
        <v>2883</v>
      </c>
    </row>
    <row r="3283" spans="1:5" x14ac:dyDescent="0.25">
      <c r="A3283" s="5">
        <f>3275</f>
      </c>
      <c r="B3283" s="5" t="s">
        <v>2894</v>
      </c>
      <c r="C3283" s="5" t="s">
        <v>11</v>
      </c>
      <c r="D3283" s="5" t="s">
        <v>12</v>
      </c>
      <c r="E3283" s="5" t="s">
        <v>2883</v>
      </c>
    </row>
    <row r="3284" spans="1:5" x14ac:dyDescent="0.25">
      <c r="A3284" s="5">
        <f>3276</f>
      </c>
      <c r="B3284" s="5" t="s">
        <v>2894</v>
      </c>
      <c r="C3284" s="5" t="s">
        <v>11</v>
      </c>
      <c r="D3284" s="5" t="s">
        <v>12</v>
      </c>
      <c r="E3284" s="5" t="s">
        <v>2883</v>
      </c>
    </row>
    <row r="3285" spans="1:5" x14ac:dyDescent="0.25">
      <c r="A3285" s="5">
        <f>3277</f>
      </c>
      <c r="B3285" s="5" t="s">
        <v>2895</v>
      </c>
      <c r="C3285" s="5" t="s">
        <v>11</v>
      </c>
      <c r="D3285" s="5" t="s">
        <v>12</v>
      </c>
      <c r="E3285" s="5" t="s">
        <v>2883</v>
      </c>
    </row>
    <row r="3286" spans="1:5" x14ac:dyDescent="0.25">
      <c r="A3286" s="5">
        <f>3278</f>
      </c>
      <c r="B3286" s="5" t="s">
        <v>2895</v>
      </c>
      <c r="C3286" s="5" t="s">
        <v>11</v>
      </c>
      <c r="D3286" s="5" t="s">
        <v>12</v>
      </c>
      <c r="E3286" s="5" t="s">
        <v>2883</v>
      </c>
    </row>
    <row r="3287" spans="1:5" x14ac:dyDescent="0.25">
      <c r="A3287" s="5">
        <f>3279</f>
      </c>
      <c r="B3287" s="5" t="s">
        <v>2896</v>
      </c>
      <c r="C3287" s="5" t="s">
        <v>11</v>
      </c>
      <c r="D3287" s="5" t="s">
        <v>12</v>
      </c>
      <c r="E3287" s="5" t="s">
        <v>2883</v>
      </c>
    </row>
    <row r="3288" spans="1:5" x14ac:dyDescent="0.25">
      <c r="A3288" s="5">
        <f>3280</f>
      </c>
      <c r="B3288" s="5" t="s">
        <v>2896</v>
      </c>
      <c r="C3288" s="5" t="s">
        <v>11</v>
      </c>
      <c r="D3288" s="5" t="s">
        <v>12</v>
      </c>
      <c r="E3288" s="5" t="s">
        <v>2883</v>
      </c>
    </row>
    <row r="3289" spans="1:5" x14ac:dyDescent="0.25">
      <c r="A3289" s="5">
        <f>3281</f>
      </c>
      <c r="B3289" s="5" t="s">
        <v>2897</v>
      </c>
      <c r="C3289" s="5" t="s">
        <v>11</v>
      </c>
      <c r="D3289" s="5" t="s">
        <v>12</v>
      </c>
      <c r="E3289" s="5" t="s">
        <v>2883</v>
      </c>
    </row>
    <row r="3290" spans="1:5" x14ac:dyDescent="0.25">
      <c r="A3290" s="5">
        <f>3282</f>
      </c>
      <c r="B3290" s="5" t="s">
        <v>2897</v>
      </c>
      <c r="C3290" s="5" t="s">
        <v>11</v>
      </c>
      <c r="D3290" s="5" t="s">
        <v>12</v>
      </c>
      <c r="E3290" s="5" t="s">
        <v>2883</v>
      </c>
    </row>
    <row r="3291" spans="1:5" x14ac:dyDescent="0.25">
      <c r="A3291" s="5">
        <f>3283</f>
      </c>
      <c r="B3291" s="5" t="s">
        <v>2898</v>
      </c>
      <c r="C3291" s="5" t="s">
        <v>11</v>
      </c>
      <c r="D3291" s="5" t="s">
        <v>12</v>
      </c>
      <c r="E3291" s="5" t="s">
        <v>2883</v>
      </c>
    </row>
    <row r="3292" spans="1:5" x14ac:dyDescent="0.25">
      <c r="A3292" s="5">
        <f>3284</f>
      </c>
      <c r="B3292" s="5" t="s">
        <v>2898</v>
      </c>
      <c r="C3292" s="5" t="s">
        <v>11</v>
      </c>
      <c r="D3292" s="5" t="s">
        <v>12</v>
      </c>
      <c r="E3292" s="5" t="s">
        <v>2883</v>
      </c>
    </row>
    <row r="3293" spans="1:5" x14ac:dyDescent="0.25">
      <c r="A3293" s="5">
        <f>3285</f>
      </c>
      <c r="B3293" s="5" t="s">
        <v>2899</v>
      </c>
      <c r="C3293" s="5" t="s">
        <v>11</v>
      </c>
      <c r="D3293" s="5" t="s">
        <v>12</v>
      </c>
      <c r="E3293" s="5" t="s">
        <v>2883</v>
      </c>
    </row>
    <row r="3294" spans="1:5" x14ac:dyDescent="0.25">
      <c r="A3294" s="5">
        <f>3286</f>
      </c>
      <c r="B3294" s="5" t="s">
        <v>2899</v>
      </c>
      <c r="C3294" s="5" t="s">
        <v>11</v>
      </c>
      <c r="D3294" s="5" t="s">
        <v>12</v>
      </c>
      <c r="E3294" s="5" t="s">
        <v>2883</v>
      </c>
    </row>
    <row r="3295" spans="1:5" x14ac:dyDescent="0.25">
      <c r="A3295" s="5">
        <f>3287</f>
      </c>
      <c r="B3295" s="5" t="s">
        <v>2900</v>
      </c>
      <c r="C3295" s="5" t="s">
        <v>11</v>
      </c>
      <c r="D3295" s="5" t="s">
        <v>12</v>
      </c>
      <c r="E3295" s="5" t="s">
        <v>2883</v>
      </c>
    </row>
    <row r="3296" spans="1:5" x14ac:dyDescent="0.25">
      <c r="A3296" s="5">
        <f>3288</f>
      </c>
      <c r="B3296" s="5" t="s">
        <v>2900</v>
      </c>
      <c r="C3296" s="5" t="s">
        <v>11</v>
      </c>
      <c r="D3296" s="5" t="s">
        <v>12</v>
      </c>
      <c r="E3296" s="5" t="s">
        <v>2883</v>
      </c>
    </row>
    <row r="3297" spans="1:5" x14ac:dyDescent="0.25">
      <c r="A3297" s="5">
        <f>3289</f>
      </c>
      <c r="B3297" s="5" t="s">
        <v>2901</v>
      </c>
      <c r="C3297" s="5" t="s">
        <v>11</v>
      </c>
      <c r="D3297" s="5" t="s">
        <v>12</v>
      </c>
      <c r="E3297" s="5" t="s">
        <v>2883</v>
      </c>
    </row>
    <row r="3298" spans="1:5" x14ac:dyDescent="0.25">
      <c r="A3298" s="5">
        <f>3290</f>
      </c>
      <c r="B3298" s="5" t="s">
        <v>2901</v>
      </c>
      <c r="C3298" s="5" t="s">
        <v>11</v>
      </c>
      <c r="D3298" s="5" t="s">
        <v>12</v>
      </c>
      <c r="E3298" s="5" t="s">
        <v>2883</v>
      </c>
    </row>
    <row r="3299" spans="1:5" x14ac:dyDescent="0.25">
      <c r="A3299" s="5">
        <f>3291</f>
      </c>
      <c r="B3299" s="5" t="s">
        <v>2902</v>
      </c>
      <c r="C3299" s="5" t="s">
        <v>11</v>
      </c>
      <c r="D3299" s="5" t="s">
        <v>12</v>
      </c>
      <c r="E3299" s="5" t="s">
        <v>2883</v>
      </c>
    </row>
    <row r="3300" spans="1:5" x14ac:dyDescent="0.25">
      <c r="A3300" s="5">
        <f>3292</f>
      </c>
      <c r="B3300" s="5" t="s">
        <v>2902</v>
      </c>
      <c r="C3300" s="5" t="s">
        <v>11</v>
      </c>
      <c r="D3300" s="5" t="s">
        <v>12</v>
      </c>
      <c r="E3300" s="5" t="s">
        <v>2883</v>
      </c>
    </row>
    <row r="3301" spans="1:5" x14ac:dyDescent="0.25">
      <c r="A3301" s="5">
        <f>3293</f>
      </c>
      <c r="B3301" s="5" t="s">
        <v>2903</v>
      </c>
      <c r="C3301" s="5" t="s">
        <v>11</v>
      </c>
      <c r="D3301" s="5" t="s">
        <v>12</v>
      </c>
      <c r="E3301" s="5" t="s">
        <v>2883</v>
      </c>
    </row>
    <row r="3302" spans="1:5" x14ac:dyDescent="0.25">
      <c r="A3302" s="5">
        <f>3294</f>
      </c>
      <c r="B3302" s="5" t="s">
        <v>2903</v>
      </c>
      <c r="C3302" s="5" t="s">
        <v>11</v>
      </c>
      <c r="D3302" s="5" t="s">
        <v>12</v>
      </c>
      <c r="E3302" s="5" t="s">
        <v>2883</v>
      </c>
    </row>
    <row r="3303" spans="1:5" x14ac:dyDescent="0.25">
      <c r="A3303" s="5">
        <f>3295</f>
      </c>
      <c r="B3303" s="5" t="s">
        <v>2904</v>
      </c>
      <c r="C3303" s="5" t="s">
        <v>11</v>
      </c>
      <c r="D3303" s="5" t="s">
        <v>12</v>
      </c>
      <c r="E3303" s="5" t="s">
        <v>2883</v>
      </c>
    </row>
    <row r="3304" spans="1:5" x14ac:dyDescent="0.25">
      <c r="A3304" s="5">
        <f>3296</f>
      </c>
      <c r="B3304" s="5" t="s">
        <v>2904</v>
      </c>
      <c r="C3304" s="5" t="s">
        <v>11</v>
      </c>
      <c r="D3304" s="5" t="s">
        <v>12</v>
      </c>
      <c r="E3304" s="5" t="s">
        <v>2883</v>
      </c>
    </row>
    <row r="3305" spans="1:5" x14ac:dyDescent="0.25">
      <c r="A3305" s="5">
        <f>3297</f>
      </c>
      <c r="B3305" s="5" t="s">
        <v>2905</v>
      </c>
      <c r="C3305" s="5" t="s">
        <v>11</v>
      </c>
      <c r="D3305" s="5" t="s">
        <v>12</v>
      </c>
      <c r="E3305" s="5" t="s">
        <v>2883</v>
      </c>
    </row>
    <row r="3306" spans="1:5" x14ac:dyDescent="0.25">
      <c r="A3306" s="5">
        <f>3298</f>
      </c>
      <c r="B3306" s="5" t="s">
        <v>2905</v>
      </c>
      <c r="C3306" s="5" t="s">
        <v>11</v>
      </c>
      <c r="D3306" s="5" t="s">
        <v>12</v>
      </c>
      <c r="E3306" s="5" t="s">
        <v>2883</v>
      </c>
    </row>
    <row r="3307" spans="1:5" x14ac:dyDescent="0.25">
      <c r="A3307" s="5">
        <f>3299</f>
      </c>
      <c r="B3307" s="5" t="s">
        <v>2906</v>
      </c>
      <c r="C3307" s="5" t="s">
        <v>11</v>
      </c>
      <c r="D3307" s="5" t="s">
        <v>12</v>
      </c>
      <c r="E3307" s="5" t="s">
        <v>2883</v>
      </c>
    </row>
    <row r="3308" spans="1:5" x14ac:dyDescent="0.25">
      <c r="A3308" s="5">
        <f>3300</f>
      </c>
      <c r="B3308" s="5" t="s">
        <v>2906</v>
      </c>
      <c r="C3308" s="5" t="s">
        <v>11</v>
      </c>
      <c r="D3308" s="5" t="s">
        <v>12</v>
      </c>
      <c r="E3308" s="5" t="s">
        <v>2883</v>
      </c>
    </row>
    <row r="3309" spans="1:5" x14ac:dyDescent="0.25">
      <c r="A3309" s="5">
        <f>3301</f>
      </c>
      <c r="B3309" s="5" t="s">
        <v>2907</v>
      </c>
      <c r="C3309" s="5" t="s">
        <v>11</v>
      </c>
      <c r="D3309" s="5" t="s">
        <v>12</v>
      </c>
      <c r="E3309" s="5" t="s">
        <v>2883</v>
      </c>
    </row>
    <row r="3310" spans="1:5" x14ac:dyDescent="0.25">
      <c r="A3310" s="5">
        <f>3302</f>
      </c>
      <c r="B3310" s="5" t="s">
        <v>2907</v>
      </c>
      <c r="C3310" s="5" t="s">
        <v>11</v>
      </c>
      <c r="D3310" s="5" t="s">
        <v>12</v>
      </c>
      <c r="E3310" s="5" t="s">
        <v>2883</v>
      </c>
    </row>
    <row r="3311" spans="1:5" x14ac:dyDescent="0.25">
      <c r="A3311" s="5">
        <f>3303</f>
      </c>
      <c r="B3311" s="5" t="s">
        <v>2908</v>
      </c>
      <c r="C3311" s="5" t="s">
        <v>11</v>
      </c>
      <c r="D3311" s="5" t="s">
        <v>12</v>
      </c>
      <c r="E3311" s="5" t="s">
        <v>2883</v>
      </c>
    </row>
    <row r="3312" spans="1:5" x14ac:dyDescent="0.25">
      <c r="A3312" s="5">
        <f>3304</f>
      </c>
      <c r="B3312" s="5" t="s">
        <v>2908</v>
      </c>
      <c r="C3312" s="5" t="s">
        <v>11</v>
      </c>
      <c r="D3312" s="5" t="s">
        <v>12</v>
      </c>
      <c r="E3312" s="5" t="s">
        <v>2883</v>
      </c>
    </row>
    <row r="3313" spans="1:5" x14ac:dyDescent="0.25">
      <c r="A3313" s="5">
        <f>3305</f>
      </c>
      <c r="B3313" s="5" t="s">
        <v>2909</v>
      </c>
      <c r="C3313" s="5" t="s">
        <v>11</v>
      </c>
      <c r="D3313" s="5" t="s">
        <v>12</v>
      </c>
      <c r="E3313" s="5" t="s">
        <v>2883</v>
      </c>
    </row>
    <row r="3314" spans="1:5" x14ac:dyDescent="0.25">
      <c r="A3314" s="5">
        <f>3306</f>
      </c>
      <c r="B3314" s="5" t="s">
        <v>2909</v>
      </c>
      <c r="C3314" s="5" t="s">
        <v>11</v>
      </c>
      <c r="D3314" s="5" t="s">
        <v>12</v>
      </c>
      <c r="E3314" s="5" t="s">
        <v>2883</v>
      </c>
    </row>
    <row r="3315" spans="1:5" x14ac:dyDescent="0.25">
      <c r="A3315" s="5">
        <f>3307</f>
      </c>
      <c r="B3315" s="5" t="s">
        <v>2910</v>
      </c>
      <c r="C3315" s="5" t="s">
        <v>11</v>
      </c>
      <c r="D3315" s="5" t="s">
        <v>12</v>
      </c>
      <c r="E3315" s="5" t="s">
        <v>2883</v>
      </c>
    </row>
    <row r="3316" spans="1:5" x14ac:dyDescent="0.25">
      <c r="A3316" s="5">
        <f>3308</f>
      </c>
      <c r="B3316" s="5" t="s">
        <v>2910</v>
      </c>
      <c r="C3316" s="5" t="s">
        <v>11</v>
      </c>
      <c r="D3316" s="5" t="s">
        <v>12</v>
      </c>
      <c r="E3316" s="5" t="s">
        <v>2883</v>
      </c>
    </row>
    <row r="3317" spans="1:5" x14ac:dyDescent="0.25">
      <c r="A3317" s="5">
        <f>3309</f>
      </c>
      <c r="B3317" s="5" t="s">
        <v>2911</v>
      </c>
      <c r="C3317" s="5" t="s">
        <v>11</v>
      </c>
      <c r="D3317" s="5" t="s">
        <v>12</v>
      </c>
      <c r="E3317" s="5" t="s">
        <v>2883</v>
      </c>
    </row>
    <row r="3318" spans="1:5" x14ac:dyDescent="0.25">
      <c r="A3318" s="5">
        <f>3310</f>
      </c>
      <c r="B3318" s="5" t="s">
        <v>2911</v>
      </c>
      <c r="C3318" s="5" t="s">
        <v>11</v>
      </c>
      <c r="D3318" s="5" t="s">
        <v>12</v>
      </c>
      <c r="E3318" s="5" t="s">
        <v>2883</v>
      </c>
    </row>
    <row r="3319" spans="1:5" x14ac:dyDescent="0.25">
      <c r="A3319" s="5">
        <f>3311</f>
      </c>
      <c r="B3319" s="5" t="s">
        <v>2912</v>
      </c>
      <c r="C3319" s="5" t="s">
        <v>11</v>
      </c>
      <c r="D3319" s="5" t="s">
        <v>12</v>
      </c>
      <c r="E3319" s="5" t="s">
        <v>2883</v>
      </c>
    </row>
    <row r="3320" spans="1:5" x14ac:dyDescent="0.25">
      <c r="A3320" s="5">
        <f>3312</f>
      </c>
      <c r="B3320" s="5" t="s">
        <v>2912</v>
      </c>
      <c r="C3320" s="5" t="s">
        <v>11</v>
      </c>
      <c r="D3320" s="5" t="s">
        <v>12</v>
      </c>
      <c r="E3320" s="5" t="s">
        <v>2883</v>
      </c>
    </row>
    <row r="3321" spans="1:5" x14ac:dyDescent="0.25">
      <c r="A3321" s="5">
        <f>3313</f>
      </c>
      <c r="B3321" s="5" t="s">
        <v>2913</v>
      </c>
      <c r="C3321" s="5" t="s">
        <v>11</v>
      </c>
      <c r="D3321" s="5" t="s">
        <v>12</v>
      </c>
      <c r="E3321" s="5" t="s">
        <v>2883</v>
      </c>
    </row>
    <row r="3322" spans="1:5" x14ac:dyDescent="0.25">
      <c r="A3322" s="5">
        <f>3314</f>
      </c>
      <c r="B3322" s="5" t="s">
        <v>2913</v>
      </c>
      <c r="C3322" s="5" t="s">
        <v>11</v>
      </c>
      <c r="D3322" s="5" t="s">
        <v>12</v>
      </c>
      <c r="E3322" s="5" t="s">
        <v>2883</v>
      </c>
    </row>
    <row r="3323" spans="1:5" x14ac:dyDescent="0.25">
      <c r="A3323" s="5">
        <f>3315</f>
      </c>
      <c r="B3323" s="5" t="s">
        <v>2914</v>
      </c>
      <c r="C3323" s="5" t="s">
        <v>11</v>
      </c>
      <c r="D3323" s="5" t="s">
        <v>12</v>
      </c>
      <c r="E3323" s="5" t="s">
        <v>2883</v>
      </c>
    </row>
    <row r="3324" spans="1:5" x14ac:dyDescent="0.25">
      <c r="A3324" s="5">
        <f>3316</f>
      </c>
      <c r="B3324" s="5" t="s">
        <v>2914</v>
      </c>
      <c r="C3324" s="5" t="s">
        <v>11</v>
      </c>
      <c r="D3324" s="5" t="s">
        <v>12</v>
      </c>
      <c r="E3324" s="5" t="s">
        <v>2883</v>
      </c>
    </row>
    <row r="3325" spans="1:5" x14ac:dyDescent="0.25">
      <c r="A3325" s="5">
        <f>3317</f>
      </c>
      <c r="B3325" s="5" t="s">
        <v>2915</v>
      </c>
      <c r="C3325" s="5" t="s">
        <v>11</v>
      </c>
      <c r="D3325" s="5" t="s">
        <v>12</v>
      </c>
      <c r="E3325" s="5" t="s">
        <v>2883</v>
      </c>
    </row>
    <row r="3326" spans="1:5" x14ac:dyDescent="0.25">
      <c r="A3326" s="5">
        <f>3318</f>
      </c>
      <c r="B3326" s="5" t="s">
        <v>2915</v>
      </c>
      <c r="C3326" s="5" t="s">
        <v>11</v>
      </c>
      <c r="D3326" s="5" t="s">
        <v>12</v>
      </c>
      <c r="E3326" s="5" t="s">
        <v>2883</v>
      </c>
    </row>
    <row r="3327" spans="1:5" x14ac:dyDescent="0.25">
      <c r="A3327" s="5">
        <f>3319</f>
      </c>
      <c r="B3327" s="5" t="s">
        <v>2916</v>
      </c>
      <c r="C3327" s="5" t="s">
        <v>11</v>
      </c>
      <c r="D3327" s="5" t="s">
        <v>12</v>
      </c>
      <c r="E3327" s="5" t="s">
        <v>2883</v>
      </c>
    </row>
    <row r="3328" spans="1:5" x14ac:dyDescent="0.25">
      <c r="A3328" s="5">
        <f>3320</f>
      </c>
      <c r="B3328" s="5" t="s">
        <v>2916</v>
      </c>
      <c r="C3328" s="5" t="s">
        <v>11</v>
      </c>
      <c r="D3328" s="5" t="s">
        <v>12</v>
      </c>
      <c r="E3328" s="5" t="s">
        <v>2883</v>
      </c>
    </row>
    <row r="3329" spans="1:5" x14ac:dyDescent="0.25">
      <c r="A3329" s="5">
        <f>3321</f>
      </c>
      <c r="B3329" s="5" t="s">
        <v>2917</v>
      </c>
      <c r="C3329" s="5" t="s">
        <v>11</v>
      </c>
      <c r="D3329" s="5" t="s">
        <v>12</v>
      </c>
      <c r="E3329" s="5" t="s">
        <v>2883</v>
      </c>
    </row>
    <row r="3330" spans="1:5" x14ac:dyDescent="0.25">
      <c r="A3330" s="5">
        <f>3322</f>
      </c>
      <c r="B3330" s="5" t="s">
        <v>2917</v>
      </c>
      <c r="C3330" s="5" t="s">
        <v>11</v>
      </c>
      <c r="D3330" s="5" t="s">
        <v>12</v>
      </c>
      <c r="E3330" s="5" t="s">
        <v>2883</v>
      </c>
    </row>
    <row r="3331" spans="1:5" x14ac:dyDescent="0.25">
      <c r="A3331" s="5">
        <f>3323</f>
      </c>
      <c r="B3331" s="5" t="s">
        <v>2918</v>
      </c>
      <c r="C3331" s="5" t="s">
        <v>11</v>
      </c>
      <c r="D3331" s="5" t="s">
        <v>12</v>
      </c>
      <c r="E3331" s="5" t="s">
        <v>2883</v>
      </c>
    </row>
    <row r="3332" spans="1:5" x14ac:dyDescent="0.25">
      <c r="A3332" s="5">
        <f>3324</f>
      </c>
      <c r="B3332" s="5" t="s">
        <v>2918</v>
      </c>
      <c r="C3332" s="5" t="s">
        <v>11</v>
      </c>
      <c r="D3332" s="5" t="s">
        <v>12</v>
      </c>
      <c r="E3332" s="5" t="s">
        <v>2883</v>
      </c>
    </row>
    <row r="3333" spans="1:5" x14ac:dyDescent="0.25">
      <c r="A3333" s="5">
        <f>3325</f>
      </c>
      <c r="B3333" s="5" t="s">
        <v>2919</v>
      </c>
      <c r="C3333" s="5" t="s">
        <v>11</v>
      </c>
      <c r="D3333" s="5" t="s">
        <v>12</v>
      </c>
      <c r="E3333" s="5" t="s">
        <v>2883</v>
      </c>
    </row>
    <row r="3334" spans="1:5" x14ac:dyDescent="0.25">
      <c r="A3334" s="5">
        <f>3326</f>
      </c>
      <c r="B3334" s="5" t="s">
        <v>2919</v>
      </c>
      <c r="C3334" s="5" t="s">
        <v>11</v>
      </c>
      <c r="D3334" s="5" t="s">
        <v>12</v>
      </c>
      <c r="E3334" s="5" t="s">
        <v>2883</v>
      </c>
    </row>
    <row r="3335" spans="1:5" x14ac:dyDescent="0.25">
      <c r="A3335" s="5">
        <f>3327</f>
      </c>
      <c r="B3335" s="5" t="s">
        <v>2920</v>
      </c>
      <c r="C3335" s="5" t="s">
        <v>11</v>
      </c>
      <c r="D3335" s="5" t="s">
        <v>12</v>
      </c>
      <c r="E3335" s="5" t="s">
        <v>2883</v>
      </c>
    </row>
    <row r="3336" spans="1:5" x14ac:dyDescent="0.25">
      <c r="A3336" s="5">
        <f>3328</f>
      </c>
      <c r="B3336" s="5" t="s">
        <v>2920</v>
      </c>
      <c r="C3336" s="5" t="s">
        <v>11</v>
      </c>
      <c r="D3336" s="5" t="s">
        <v>12</v>
      </c>
      <c r="E3336" s="5" t="s">
        <v>2883</v>
      </c>
    </row>
    <row r="3337" spans="1:5" x14ac:dyDescent="0.25">
      <c r="A3337" s="5">
        <f>3329</f>
      </c>
      <c r="B3337" s="5" t="s">
        <v>2921</v>
      </c>
      <c r="C3337" s="5" t="s">
        <v>11</v>
      </c>
      <c r="D3337" s="5" t="s">
        <v>12</v>
      </c>
      <c r="E3337" s="5" t="s">
        <v>2883</v>
      </c>
    </row>
    <row r="3338" spans="1:5" x14ac:dyDescent="0.25">
      <c r="A3338" s="5">
        <f>3330</f>
      </c>
      <c r="B3338" s="5" t="s">
        <v>2921</v>
      </c>
      <c r="C3338" s="5" t="s">
        <v>11</v>
      </c>
      <c r="D3338" s="5" t="s">
        <v>12</v>
      </c>
      <c r="E3338" s="5" t="s">
        <v>2883</v>
      </c>
    </row>
    <row r="3339" spans="1:5" x14ac:dyDescent="0.25">
      <c r="A3339" s="5">
        <f>3331</f>
      </c>
      <c r="B3339" s="5" t="s">
        <v>2922</v>
      </c>
      <c r="C3339" s="5" t="s">
        <v>11</v>
      </c>
      <c r="D3339" s="5" t="s">
        <v>12</v>
      </c>
      <c r="E3339" s="5" t="s">
        <v>2883</v>
      </c>
    </row>
    <row r="3340" spans="1:5" x14ac:dyDescent="0.25">
      <c r="A3340" s="5">
        <f>3332</f>
      </c>
      <c r="B3340" s="5" t="s">
        <v>2922</v>
      </c>
      <c r="C3340" s="5" t="s">
        <v>11</v>
      </c>
      <c r="D3340" s="5" t="s">
        <v>12</v>
      </c>
      <c r="E3340" s="5" t="s">
        <v>2883</v>
      </c>
    </row>
    <row r="3341" spans="1:5" x14ac:dyDescent="0.25">
      <c r="A3341" s="5">
        <f>3333</f>
      </c>
      <c r="B3341" s="5" t="s">
        <v>2923</v>
      </c>
      <c r="C3341" s="5" t="s">
        <v>11</v>
      </c>
      <c r="D3341" s="5" t="s">
        <v>12</v>
      </c>
      <c r="E3341" s="5" t="s">
        <v>2883</v>
      </c>
    </row>
    <row r="3342" spans="1:5" x14ac:dyDescent="0.25">
      <c r="A3342" s="5">
        <f>3334</f>
      </c>
      <c r="B3342" s="5" t="s">
        <v>2923</v>
      </c>
      <c r="C3342" s="5" t="s">
        <v>11</v>
      </c>
      <c r="D3342" s="5" t="s">
        <v>12</v>
      </c>
      <c r="E3342" s="5" t="s">
        <v>2883</v>
      </c>
    </row>
    <row r="3343" spans="1:5" x14ac:dyDescent="0.25">
      <c r="A3343" s="5">
        <f>3335</f>
      </c>
      <c r="B3343" s="5" t="s">
        <v>2924</v>
      </c>
      <c r="C3343" s="5" t="s">
        <v>11</v>
      </c>
      <c r="D3343" s="5" t="s">
        <v>12</v>
      </c>
      <c r="E3343" s="5" t="s">
        <v>2883</v>
      </c>
    </row>
    <row r="3344" spans="1:5" x14ac:dyDescent="0.25">
      <c r="A3344" s="5">
        <f>3336</f>
      </c>
      <c r="B3344" s="5" t="s">
        <v>2924</v>
      </c>
      <c r="C3344" s="5" t="s">
        <v>11</v>
      </c>
      <c r="D3344" s="5" t="s">
        <v>12</v>
      </c>
      <c r="E3344" s="5" t="s">
        <v>2883</v>
      </c>
    </row>
    <row r="3345" spans="1:5" x14ac:dyDescent="0.25">
      <c r="A3345" s="5">
        <f>3337</f>
      </c>
      <c r="B3345" s="5" t="s">
        <v>2925</v>
      </c>
      <c r="C3345" s="5" t="s">
        <v>11</v>
      </c>
      <c r="D3345" s="5" t="s">
        <v>12</v>
      </c>
      <c r="E3345" s="5" t="s">
        <v>2883</v>
      </c>
    </row>
    <row r="3346" spans="1:5" x14ac:dyDescent="0.25">
      <c r="A3346" s="5">
        <f>3338</f>
      </c>
      <c r="B3346" s="5" t="s">
        <v>2925</v>
      </c>
      <c r="C3346" s="5" t="s">
        <v>11</v>
      </c>
      <c r="D3346" s="5" t="s">
        <v>12</v>
      </c>
      <c r="E3346" s="5" t="s">
        <v>2883</v>
      </c>
    </row>
    <row r="3347" spans="1:5" x14ac:dyDescent="0.25">
      <c r="A3347" s="5">
        <f>3339</f>
      </c>
      <c r="B3347" s="5" t="s">
        <v>2926</v>
      </c>
      <c r="C3347" s="5" t="s">
        <v>11</v>
      </c>
      <c r="D3347" s="5" t="s">
        <v>12</v>
      </c>
      <c r="E3347" s="5" t="s">
        <v>2883</v>
      </c>
    </row>
    <row r="3348" spans="1:5" x14ac:dyDescent="0.25">
      <c r="A3348" s="5">
        <f>3340</f>
      </c>
      <c r="B3348" s="5" t="s">
        <v>2926</v>
      </c>
      <c r="C3348" s="5" t="s">
        <v>11</v>
      </c>
      <c r="D3348" s="5" t="s">
        <v>12</v>
      </c>
      <c r="E3348" s="5" t="s">
        <v>2883</v>
      </c>
    </row>
    <row r="3349" spans="1:5" x14ac:dyDescent="0.25">
      <c r="A3349" s="5">
        <f>3341</f>
      </c>
      <c r="B3349" s="5" t="s">
        <v>2927</v>
      </c>
      <c r="C3349" s="5" t="s">
        <v>11</v>
      </c>
      <c r="D3349" s="5" t="s">
        <v>12</v>
      </c>
      <c r="E3349" s="5" t="s">
        <v>2883</v>
      </c>
    </row>
    <row r="3350" spans="1:5" x14ac:dyDescent="0.25">
      <c r="A3350" s="5">
        <f>3342</f>
      </c>
      <c r="B3350" s="5" t="s">
        <v>2927</v>
      </c>
      <c r="C3350" s="5" t="s">
        <v>11</v>
      </c>
      <c r="D3350" s="5" t="s">
        <v>12</v>
      </c>
      <c r="E3350" s="5" t="s">
        <v>2883</v>
      </c>
    </row>
    <row r="3351" spans="1:5" x14ac:dyDescent="0.25">
      <c r="A3351" s="5">
        <f>3343</f>
      </c>
      <c r="B3351" s="5" t="s">
        <v>2928</v>
      </c>
      <c r="C3351" s="5" t="s">
        <v>11</v>
      </c>
      <c r="D3351" s="5" t="s">
        <v>12</v>
      </c>
      <c r="E3351" s="5" t="s">
        <v>2883</v>
      </c>
    </row>
    <row r="3352" spans="1:5" x14ac:dyDescent="0.25">
      <c r="A3352" s="5">
        <f>3344</f>
      </c>
      <c r="B3352" s="5" t="s">
        <v>2928</v>
      </c>
      <c r="C3352" s="5" t="s">
        <v>11</v>
      </c>
      <c r="D3352" s="5" t="s">
        <v>12</v>
      </c>
      <c r="E3352" s="5" t="s">
        <v>2883</v>
      </c>
    </row>
    <row r="3353" spans="1:5" x14ac:dyDescent="0.25">
      <c r="A3353" s="5">
        <f>3345</f>
      </c>
      <c r="B3353" s="5" t="s">
        <v>2929</v>
      </c>
      <c r="C3353" s="5" t="s">
        <v>11</v>
      </c>
      <c r="D3353" s="5" t="s">
        <v>12</v>
      </c>
      <c r="E3353" s="5" t="s">
        <v>2883</v>
      </c>
    </row>
    <row r="3354" spans="1:5" x14ac:dyDescent="0.25">
      <c r="A3354" s="5">
        <f>3346</f>
      </c>
      <c r="B3354" s="5" t="s">
        <v>2929</v>
      </c>
      <c r="C3354" s="5" t="s">
        <v>11</v>
      </c>
      <c r="D3354" s="5" t="s">
        <v>12</v>
      </c>
      <c r="E3354" s="5" t="s">
        <v>2883</v>
      </c>
    </row>
    <row r="3355" spans="1:5" x14ac:dyDescent="0.25">
      <c r="A3355" s="5">
        <f>3347</f>
      </c>
      <c r="B3355" s="5" t="s">
        <v>2930</v>
      </c>
      <c r="C3355" s="5" t="s">
        <v>11</v>
      </c>
      <c r="D3355" s="5" t="s">
        <v>12</v>
      </c>
      <c r="E3355" s="5" t="s">
        <v>2883</v>
      </c>
    </row>
    <row r="3356" spans="1:5" x14ac:dyDescent="0.25">
      <c r="A3356" s="5">
        <f>3348</f>
      </c>
      <c r="B3356" s="5" t="s">
        <v>2930</v>
      </c>
      <c r="C3356" s="5" t="s">
        <v>11</v>
      </c>
      <c r="D3356" s="5" t="s">
        <v>12</v>
      </c>
      <c r="E3356" s="5" t="s">
        <v>2883</v>
      </c>
    </row>
    <row r="3357" spans="1:5" x14ac:dyDescent="0.25">
      <c r="A3357" s="5">
        <f>3349</f>
      </c>
      <c r="B3357" s="5" t="s">
        <v>2931</v>
      </c>
      <c r="C3357" s="5" t="s">
        <v>11</v>
      </c>
      <c r="D3357" s="5" t="s">
        <v>12</v>
      </c>
      <c r="E3357" s="5" t="s">
        <v>2883</v>
      </c>
    </row>
    <row r="3358" spans="1:5" x14ac:dyDescent="0.25">
      <c r="A3358" s="5">
        <f>3350</f>
      </c>
      <c r="B3358" s="5" t="s">
        <v>2931</v>
      </c>
      <c r="C3358" s="5" t="s">
        <v>11</v>
      </c>
      <c r="D3358" s="5" t="s">
        <v>12</v>
      </c>
      <c r="E3358" s="5" t="s">
        <v>2883</v>
      </c>
    </row>
    <row r="3359" spans="1:5" x14ac:dyDescent="0.25">
      <c r="A3359" s="5">
        <f>3351</f>
      </c>
      <c r="B3359" s="5" t="s">
        <v>2932</v>
      </c>
      <c r="C3359" s="5" t="s">
        <v>11</v>
      </c>
      <c r="D3359" s="5" t="s">
        <v>12</v>
      </c>
      <c r="E3359" s="5" t="s">
        <v>2883</v>
      </c>
    </row>
    <row r="3360" spans="1:5" x14ac:dyDescent="0.25">
      <c r="A3360" s="5">
        <f>3352</f>
      </c>
      <c r="B3360" s="5" t="s">
        <v>2932</v>
      </c>
      <c r="C3360" s="5" t="s">
        <v>11</v>
      </c>
      <c r="D3360" s="5" t="s">
        <v>12</v>
      </c>
      <c r="E3360" s="5" t="s">
        <v>2883</v>
      </c>
    </row>
    <row r="3361" spans="1:5" x14ac:dyDescent="0.25">
      <c r="A3361" s="5">
        <f>3353</f>
      </c>
      <c r="B3361" s="5" t="s">
        <v>2933</v>
      </c>
      <c r="C3361" s="5" t="s">
        <v>11</v>
      </c>
      <c r="D3361" s="5" t="s">
        <v>12</v>
      </c>
      <c r="E3361" s="5" t="s">
        <v>2883</v>
      </c>
    </row>
    <row r="3362" spans="1:5" x14ac:dyDescent="0.25">
      <c r="A3362" s="5">
        <f>3354</f>
      </c>
      <c r="B3362" s="5" t="s">
        <v>2933</v>
      </c>
      <c r="C3362" s="5" t="s">
        <v>11</v>
      </c>
      <c r="D3362" s="5" t="s">
        <v>12</v>
      </c>
      <c r="E3362" s="5" t="s">
        <v>2883</v>
      </c>
    </row>
    <row r="3363" spans="1:5" x14ac:dyDescent="0.25">
      <c r="A3363" s="5">
        <f>3355</f>
      </c>
      <c r="B3363" s="5" t="s">
        <v>2934</v>
      </c>
      <c r="C3363" s="5" t="s">
        <v>11</v>
      </c>
      <c r="D3363" s="5" t="s">
        <v>12</v>
      </c>
      <c r="E3363" s="5" t="s">
        <v>2883</v>
      </c>
    </row>
    <row r="3364" spans="1:5" x14ac:dyDescent="0.25">
      <c r="A3364" s="5">
        <f>3356</f>
      </c>
      <c r="B3364" s="5" t="s">
        <v>2934</v>
      </c>
      <c r="C3364" s="5" t="s">
        <v>11</v>
      </c>
      <c r="D3364" s="5" t="s">
        <v>12</v>
      </c>
      <c r="E3364" s="5" t="s">
        <v>2883</v>
      </c>
    </row>
    <row r="3365" spans="1:5" x14ac:dyDescent="0.25">
      <c r="A3365" s="5">
        <f>3357</f>
      </c>
      <c r="B3365" s="5" t="s">
        <v>2935</v>
      </c>
      <c r="C3365" s="5" t="s">
        <v>11</v>
      </c>
      <c r="D3365" s="5" t="s">
        <v>12</v>
      </c>
      <c r="E3365" s="5" t="s">
        <v>2883</v>
      </c>
    </row>
    <row r="3366" spans="1:5" x14ac:dyDescent="0.25">
      <c r="A3366" s="5">
        <f>3358</f>
      </c>
      <c r="B3366" s="5" t="s">
        <v>2935</v>
      </c>
      <c r="C3366" s="5" t="s">
        <v>11</v>
      </c>
      <c r="D3366" s="5" t="s">
        <v>12</v>
      </c>
      <c r="E3366" s="5" t="s">
        <v>2883</v>
      </c>
    </row>
    <row r="3367" spans="1:5" x14ac:dyDescent="0.25">
      <c r="A3367" s="5">
        <f>3359</f>
      </c>
      <c r="B3367" s="5" t="s">
        <v>2936</v>
      </c>
      <c r="C3367" s="5" t="s">
        <v>11</v>
      </c>
      <c r="D3367" s="5" t="s">
        <v>12</v>
      </c>
      <c r="E3367" s="5" t="s">
        <v>2883</v>
      </c>
    </row>
    <row r="3368" spans="1:5" x14ac:dyDescent="0.25">
      <c r="A3368" s="5">
        <f>3360</f>
      </c>
      <c r="B3368" s="5" t="s">
        <v>2936</v>
      </c>
      <c r="C3368" s="5" t="s">
        <v>11</v>
      </c>
      <c r="D3368" s="5" t="s">
        <v>12</v>
      </c>
      <c r="E3368" s="5" t="s">
        <v>2883</v>
      </c>
    </row>
    <row r="3369" spans="1:5" x14ac:dyDescent="0.25">
      <c r="A3369" s="5">
        <f>3361</f>
      </c>
      <c r="B3369" s="5" t="s">
        <v>2937</v>
      </c>
      <c r="C3369" s="5" t="s">
        <v>11</v>
      </c>
      <c r="D3369" s="5" t="s">
        <v>12</v>
      </c>
      <c r="E3369" s="5" t="s">
        <v>2883</v>
      </c>
    </row>
    <row r="3370" spans="1:5" x14ac:dyDescent="0.25">
      <c r="A3370" s="5">
        <f>3362</f>
      </c>
      <c r="B3370" s="5" t="s">
        <v>2937</v>
      </c>
      <c r="C3370" s="5" t="s">
        <v>11</v>
      </c>
      <c r="D3370" s="5" t="s">
        <v>12</v>
      </c>
      <c r="E3370" s="5" t="s">
        <v>2883</v>
      </c>
    </row>
    <row r="3371" spans="1:5" x14ac:dyDescent="0.25">
      <c r="A3371" s="5">
        <f>3363</f>
      </c>
      <c r="B3371" s="5" t="s">
        <v>2938</v>
      </c>
      <c r="C3371" s="5" t="s">
        <v>11</v>
      </c>
      <c r="D3371" s="5" t="s">
        <v>12</v>
      </c>
      <c r="E3371" s="5" t="s">
        <v>2883</v>
      </c>
    </row>
    <row r="3372" spans="1:5" x14ac:dyDescent="0.25">
      <c r="A3372" s="5">
        <f>3364</f>
      </c>
      <c r="B3372" s="5" t="s">
        <v>2938</v>
      </c>
      <c r="C3372" s="5" t="s">
        <v>11</v>
      </c>
      <c r="D3372" s="5" t="s">
        <v>12</v>
      </c>
      <c r="E3372" s="5" t="s">
        <v>2883</v>
      </c>
    </row>
    <row r="3373" spans="1:5" x14ac:dyDescent="0.25">
      <c r="A3373" s="5">
        <f>3365</f>
      </c>
      <c r="B3373" s="5" t="s">
        <v>2939</v>
      </c>
      <c r="C3373" s="5" t="s">
        <v>11</v>
      </c>
      <c r="D3373" s="5" t="s">
        <v>12</v>
      </c>
      <c r="E3373" s="5" t="s">
        <v>2883</v>
      </c>
    </row>
    <row r="3374" spans="1:5" x14ac:dyDescent="0.25">
      <c r="A3374" s="5">
        <f>3366</f>
      </c>
      <c r="B3374" s="5" t="s">
        <v>2939</v>
      </c>
      <c r="C3374" s="5" t="s">
        <v>11</v>
      </c>
      <c r="D3374" s="5" t="s">
        <v>12</v>
      </c>
      <c r="E3374" s="5" t="s">
        <v>2883</v>
      </c>
    </row>
    <row r="3375" spans="1:5" x14ac:dyDescent="0.25">
      <c r="A3375" s="5">
        <f>3367</f>
      </c>
      <c r="B3375" s="5" t="s">
        <v>2940</v>
      </c>
      <c r="C3375" s="5" t="s">
        <v>11</v>
      </c>
      <c r="D3375" s="5" t="s">
        <v>12</v>
      </c>
      <c r="E3375" s="5" t="s">
        <v>2883</v>
      </c>
    </row>
    <row r="3376" spans="1:5" x14ac:dyDescent="0.25">
      <c r="A3376" s="5">
        <f>3368</f>
      </c>
      <c r="B3376" s="5" t="s">
        <v>2940</v>
      </c>
      <c r="C3376" s="5" t="s">
        <v>11</v>
      </c>
      <c r="D3376" s="5" t="s">
        <v>12</v>
      </c>
      <c r="E3376" s="5" t="s">
        <v>2883</v>
      </c>
    </row>
    <row r="3377" spans="1:5" x14ac:dyDescent="0.25">
      <c r="A3377" s="5">
        <f>3369</f>
      </c>
      <c r="B3377" s="5" t="s">
        <v>2941</v>
      </c>
      <c r="C3377" s="5" t="s">
        <v>11</v>
      </c>
      <c r="D3377" s="5" t="s">
        <v>12</v>
      </c>
      <c r="E3377" s="5" t="s">
        <v>2883</v>
      </c>
    </row>
    <row r="3378" spans="1:5" x14ac:dyDescent="0.25">
      <c r="A3378" s="5">
        <f>3370</f>
      </c>
      <c r="B3378" s="5" t="s">
        <v>2941</v>
      </c>
      <c r="C3378" s="5" t="s">
        <v>11</v>
      </c>
      <c r="D3378" s="5" t="s">
        <v>12</v>
      </c>
      <c r="E3378" s="5" t="s">
        <v>2883</v>
      </c>
    </row>
    <row r="3379" spans="1:5" x14ac:dyDescent="0.25">
      <c r="A3379" s="5">
        <f>3371</f>
      </c>
      <c r="B3379" s="5" t="s">
        <v>2942</v>
      </c>
      <c r="C3379" s="5" t="s">
        <v>11</v>
      </c>
      <c r="D3379" s="5" t="s">
        <v>12</v>
      </c>
      <c r="E3379" s="5" t="s">
        <v>2883</v>
      </c>
    </row>
    <row r="3380" spans="1:5" x14ac:dyDescent="0.25">
      <c r="A3380" s="5">
        <f>3372</f>
      </c>
      <c r="B3380" s="5" t="s">
        <v>2942</v>
      </c>
      <c r="C3380" s="5" t="s">
        <v>11</v>
      </c>
      <c r="D3380" s="5" t="s">
        <v>12</v>
      </c>
      <c r="E3380" s="5" t="s">
        <v>2883</v>
      </c>
    </row>
    <row r="3381" spans="1:5" x14ac:dyDescent="0.25">
      <c r="A3381" s="5">
        <f>3373</f>
      </c>
      <c r="B3381" s="5" t="s">
        <v>2943</v>
      </c>
      <c r="C3381" s="5" t="s">
        <v>11</v>
      </c>
      <c r="D3381" s="5" t="s">
        <v>12</v>
      </c>
      <c r="E3381" s="5" t="s">
        <v>2944</v>
      </c>
    </row>
    <row r="3382" spans="1:5" x14ac:dyDescent="0.25">
      <c r="A3382" s="5">
        <f>3374</f>
      </c>
      <c r="B3382" s="5" t="s">
        <v>2943</v>
      </c>
      <c r="C3382" s="5" t="s">
        <v>11</v>
      </c>
      <c r="D3382" s="5" t="s">
        <v>12</v>
      </c>
      <c r="E3382" s="5" t="s">
        <v>2944</v>
      </c>
    </row>
    <row r="3383" spans="1:5" x14ac:dyDescent="0.25">
      <c r="A3383" s="5">
        <f>3375</f>
      </c>
      <c r="B3383" s="5" t="s">
        <v>2945</v>
      </c>
      <c r="C3383" s="5" t="s">
        <v>11</v>
      </c>
      <c r="D3383" s="5" t="s">
        <v>12</v>
      </c>
      <c r="E3383" s="5" t="s">
        <v>2944</v>
      </c>
    </row>
    <row r="3384" spans="1:5" x14ac:dyDescent="0.25">
      <c r="A3384" s="5">
        <f>3376</f>
      </c>
      <c r="B3384" s="5" t="s">
        <v>2945</v>
      </c>
      <c r="C3384" s="5" t="s">
        <v>11</v>
      </c>
      <c r="D3384" s="5" t="s">
        <v>12</v>
      </c>
      <c r="E3384" s="5" t="s">
        <v>2944</v>
      </c>
    </row>
    <row r="3385" spans="1:5" x14ac:dyDescent="0.25">
      <c r="A3385" s="5">
        <f>3377</f>
      </c>
      <c r="B3385" s="5" t="s">
        <v>2946</v>
      </c>
      <c r="C3385" s="5" t="s">
        <v>11</v>
      </c>
      <c r="D3385" s="5" t="s">
        <v>12</v>
      </c>
      <c r="E3385" s="5" t="s">
        <v>2944</v>
      </c>
    </row>
    <row r="3386" spans="1:5" x14ac:dyDescent="0.25">
      <c r="A3386" s="5">
        <f>3378</f>
      </c>
      <c r="B3386" s="5" t="s">
        <v>2946</v>
      </c>
      <c r="C3386" s="5" t="s">
        <v>11</v>
      </c>
      <c r="D3386" s="5" t="s">
        <v>12</v>
      </c>
      <c r="E3386" s="5" t="s">
        <v>2944</v>
      </c>
    </row>
    <row r="3387" spans="1:5" x14ac:dyDescent="0.25">
      <c r="A3387" s="5">
        <f>3379</f>
      </c>
      <c r="B3387" s="5" t="s">
        <v>2947</v>
      </c>
      <c r="C3387" s="5" t="s">
        <v>11</v>
      </c>
      <c r="D3387" s="5" t="s">
        <v>12</v>
      </c>
      <c r="E3387" s="5" t="s">
        <v>2944</v>
      </c>
    </row>
    <row r="3388" spans="1:5" x14ac:dyDescent="0.25">
      <c r="A3388" s="5">
        <f>3380</f>
      </c>
      <c r="B3388" s="5" t="s">
        <v>2947</v>
      </c>
      <c r="C3388" s="5" t="s">
        <v>11</v>
      </c>
      <c r="D3388" s="5" t="s">
        <v>12</v>
      </c>
      <c r="E3388" s="5" t="s">
        <v>2944</v>
      </c>
    </row>
    <row r="3389" spans="1:5" x14ac:dyDescent="0.25">
      <c r="A3389" s="5">
        <f>3381</f>
      </c>
      <c r="B3389" s="5" t="s">
        <v>2948</v>
      </c>
      <c r="C3389" s="5" t="s">
        <v>11</v>
      </c>
      <c r="D3389" s="5" t="s">
        <v>12</v>
      </c>
      <c r="E3389" s="5" t="s">
        <v>2944</v>
      </c>
    </row>
    <row r="3390" spans="1:5" x14ac:dyDescent="0.25">
      <c r="A3390" s="5">
        <f>3382</f>
      </c>
      <c r="B3390" s="5" t="s">
        <v>2948</v>
      </c>
      <c r="C3390" s="5" t="s">
        <v>11</v>
      </c>
      <c r="D3390" s="5" t="s">
        <v>12</v>
      </c>
      <c r="E3390" s="5" t="s">
        <v>2944</v>
      </c>
    </row>
    <row r="3391" spans="1:5" x14ac:dyDescent="0.25">
      <c r="A3391" s="5">
        <f>3383</f>
      </c>
      <c r="B3391" s="5" t="s">
        <v>2949</v>
      </c>
      <c r="C3391" s="5" t="s">
        <v>11</v>
      </c>
      <c r="D3391" s="5" t="s">
        <v>12</v>
      </c>
      <c r="E3391" s="5" t="s">
        <v>2944</v>
      </c>
    </row>
    <row r="3392" spans="1:5" x14ac:dyDescent="0.25">
      <c r="A3392" s="5">
        <f>3384</f>
      </c>
      <c r="B3392" s="5" t="s">
        <v>2949</v>
      </c>
      <c r="C3392" s="5" t="s">
        <v>11</v>
      </c>
      <c r="D3392" s="5" t="s">
        <v>12</v>
      </c>
      <c r="E3392" s="5" t="s">
        <v>2944</v>
      </c>
    </row>
    <row r="3393" spans="1:5" x14ac:dyDescent="0.25">
      <c r="A3393" s="5">
        <f>3385</f>
      </c>
      <c r="B3393" s="5" t="s">
        <v>2950</v>
      </c>
      <c r="C3393" s="5" t="s">
        <v>11</v>
      </c>
      <c r="D3393" s="5" t="s">
        <v>12</v>
      </c>
      <c r="E3393" s="5" t="s">
        <v>2944</v>
      </c>
    </row>
    <row r="3394" spans="1:5" x14ac:dyDescent="0.25">
      <c r="A3394" s="5">
        <f>3386</f>
      </c>
      <c r="B3394" s="5" t="s">
        <v>2950</v>
      </c>
      <c r="C3394" s="5" t="s">
        <v>11</v>
      </c>
      <c r="D3394" s="5" t="s">
        <v>12</v>
      </c>
      <c r="E3394" s="5" t="s">
        <v>2944</v>
      </c>
    </row>
    <row r="3395" spans="1:5" x14ac:dyDescent="0.25">
      <c r="A3395" s="5">
        <f>3387</f>
      </c>
      <c r="B3395" s="5" t="s">
        <v>2951</v>
      </c>
      <c r="C3395" s="5" t="s">
        <v>11</v>
      </c>
      <c r="D3395" s="5" t="s">
        <v>12</v>
      </c>
      <c r="E3395" s="5" t="s">
        <v>2944</v>
      </c>
    </row>
    <row r="3396" spans="1:5" x14ac:dyDescent="0.25">
      <c r="A3396" s="5">
        <f>3388</f>
      </c>
      <c r="B3396" s="5" t="s">
        <v>2951</v>
      </c>
      <c r="C3396" s="5" t="s">
        <v>11</v>
      </c>
      <c r="D3396" s="5" t="s">
        <v>12</v>
      </c>
      <c r="E3396" s="5" t="s">
        <v>2944</v>
      </c>
    </row>
    <row r="3397" spans="1:5" x14ac:dyDescent="0.25">
      <c r="A3397" s="5">
        <f>3389</f>
      </c>
      <c r="B3397" s="5" t="s">
        <v>2952</v>
      </c>
      <c r="C3397" s="5" t="s">
        <v>11</v>
      </c>
      <c r="D3397" s="5" t="s">
        <v>12</v>
      </c>
      <c r="E3397" s="5" t="s">
        <v>2944</v>
      </c>
    </row>
    <row r="3398" spans="1:5" x14ac:dyDescent="0.25">
      <c r="A3398" s="5">
        <f>3390</f>
      </c>
      <c r="B3398" s="5" t="s">
        <v>2952</v>
      </c>
      <c r="C3398" s="5" t="s">
        <v>11</v>
      </c>
      <c r="D3398" s="5" t="s">
        <v>12</v>
      </c>
      <c r="E3398" s="5" t="s">
        <v>2944</v>
      </c>
    </row>
    <row r="3399" spans="1:5" x14ac:dyDescent="0.25">
      <c r="A3399" s="5">
        <f>3391</f>
      </c>
      <c r="B3399" s="5" t="s">
        <v>2953</v>
      </c>
      <c r="C3399" s="5" t="s">
        <v>11</v>
      </c>
      <c r="D3399" s="5" t="s">
        <v>12</v>
      </c>
      <c r="E3399" s="5" t="s">
        <v>2944</v>
      </c>
    </row>
    <row r="3400" spans="1:5" x14ac:dyDescent="0.25">
      <c r="A3400" s="5">
        <f>3392</f>
      </c>
      <c r="B3400" s="5" t="s">
        <v>2953</v>
      </c>
      <c r="C3400" s="5" t="s">
        <v>11</v>
      </c>
      <c r="D3400" s="5" t="s">
        <v>12</v>
      </c>
      <c r="E3400" s="5" t="s">
        <v>2944</v>
      </c>
    </row>
    <row r="3401" spans="1:5" x14ac:dyDescent="0.25">
      <c r="A3401" s="5">
        <f>3393</f>
      </c>
      <c r="B3401" s="5" t="s">
        <v>2954</v>
      </c>
      <c r="C3401" s="5" t="s">
        <v>11</v>
      </c>
      <c r="D3401" s="5" t="s">
        <v>12</v>
      </c>
      <c r="E3401" s="5" t="s">
        <v>2944</v>
      </c>
    </row>
    <row r="3402" spans="1:5" x14ac:dyDescent="0.25">
      <c r="A3402" s="5">
        <f>3394</f>
      </c>
      <c r="B3402" s="5" t="s">
        <v>2954</v>
      </c>
      <c r="C3402" s="5" t="s">
        <v>11</v>
      </c>
      <c r="D3402" s="5" t="s">
        <v>12</v>
      </c>
      <c r="E3402" s="5" t="s">
        <v>2944</v>
      </c>
    </row>
    <row r="3403" spans="1:5" x14ac:dyDescent="0.25">
      <c r="A3403" s="5">
        <f>3395</f>
      </c>
      <c r="B3403" s="5" t="s">
        <v>2955</v>
      </c>
      <c r="C3403" s="5" t="s">
        <v>11</v>
      </c>
      <c r="D3403" s="5" t="s">
        <v>12</v>
      </c>
      <c r="E3403" s="5" t="s">
        <v>2944</v>
      </c>
    </row>
    <row r="3404" spans="1:5" x14ac:dyDescent="0.25">
      <c r="A3404" s="5">
        <f>3396</f>
      </c>
      <c r="B3404" s="5" t="s">
        <v>2955</v>
      </c>
      <c r="C3404" s="5" t="s">
        <v>11</v>
      </c>
      <c r="D3404" s="5" t="s">
        <v>12</v>
      </c>
      <c r="E3404" s="5" t="s">
        <v>2944</v>
      </c>
    </row>
    <row r="3405" spans="1:5" x14ac:dyDescent="0.25">
      <c r="A3405" s="5">
        <f>3397</f>
      </c>
      <c r="B3405" s="5" t="s">
        <v>2956</v>
      </c>
      <c r="C3405" s="5" t="s">
        <v>11</v>
      </c>
      <c r="D3405" s="5" t="s">
        <v>12</v>
      </c>
      <c r="E3405" s="5" t="s">
        <v>2944</v>
      </c>
    </row>
    <row r="3406" spans="1:5" x14ac:dyDescent="0.25">
      <c r="A3406" s="5">
        <f>3398</f>
      </c>
      <c r="B3406" s="5" t="s">
        <v>2956</v>
      </c>
      <c r="C3406" s="5" t="s">
        <v>11</v>
      </c>
      <c r="D3406" s="5" t="s">
        <v>12</v>
      </c>
      <c r="E3406" s="5" t="s">
        <v>2944</v>
      </c>
    </row>
    <row r="3407" spans="1:5" x14ac:dyDescent="0.25">
      <c r="A3407" s="5">
        <f>3399</f>
      </c>
      <c r="B3407" s="5" t="s">
        <v>2957</v>
      </c>
      <c r="C3407" s="5" t="s">
        <v>11</v>
      </c>
      <c r="D3407" s="5" t="s">
        <v>12</v>
      </c>
      <c r="E3407" s="5" t="s">
        <v>2944</v>
      </c>
    </row>
    <row r="3408" spans="1:5" x14ac:dyDescent="0.25">
      <c r="A3408" s="5">
        <f>3400</f>
      </c>
      <c r="B3408" s="5" t="s">
        <v>2957</v>
      </c>
      <c r="C3408" s="5" t="s">
        <v>11</v>
      </c>
      <c r="D3408" s="5" t="s">
        <v>12</v>
      </c>
      <c r="E3408" s="5" t="s">
        <v>2944</v>
      </c>
    </row>
    <row r="3409" spans="1:5" x14ac:dyDescent="0.25">
      <c r="A3409" s="5">
        <f>3401</f>
      </c>
      <c r="B3409" s="5" t="s">
        <v>2958</v>
      </c>
      <c r="C3409" s="5" t="s">
        <v>11</v>
      </c>
      <c r="D3409" s="5" t="s">
        <v>12</v>
      </c>
      <c r="E3409" s="5" t="s">
        <v>2944</v>
      </c>
    </row>
    <row r="3410" spans="1:5" x14ac:dyDescent="0.25">
      <c r="A3410" s="5">
        <f>3402</f>
      </c>
      <c r="B3410" s="5" t="s">
        <v>2958</v>
      </c>
      <c r="C3410" s="5" t="s">
        <v>11</v>
      </c>
      <c r="D3410" s="5" t="s">
        <v>12</v>
      </c>
      <c r="E3410" s="5" t="s">
        <v>2944</v>
      </c>
    </row>
    <row r="3411" spans="1:5" x14ac:dyDescent="0.25">
      <c r="A3411" s="5">
        <f>3403</f>
      </c>
      <c r="B3411" s="5" t="s">
        <v>2959</v>
      </c>
      <c r="C3411" s="5" t="s">
        <v>11</v>
      </c>
      <c r="D3411" s="5" t="s">
        <v>12</v>
      </c>
      <c r="E3411" s="5" t="s">
        <v>2944</v>
      </c>
    </row>
    <row r="3412" spans="1:5" x14ac:dyDescent="0.25">
      <c r="A3412" s="5">
        <f>3404</f>
      </c>
      <c r="B3412" s="5" t="s">
        <v>2959</v>
      </c>
      <c r="C3412" s="5" t="s">
        <v>11</v>
      </c>
      <c r="D3412" s="5" t="s">
        <v>12</v>
      </c>
      <c r="E3412" s="5" t="s">
        <v>2944</v>
      </c>
    </row>
    <row r="3413" spans="1:5" x14ac:dyDescent="0.25">
      <c r="A3413" s="5">
        <f>3405</f>
      </c>
      <c r="B3413" s="5" t="s">
        <v>2960</v>
      </c>
      <c r="C3413" s="5" t="s">
        <v>11</v>
      </c>
      <c r="D3413" s="5" t="s">
        <v>12</v>
      </c>
      <c r="E3413" s="5" t="s">
        <v>2944</v>
      </c>
    </row>
    <row r="3414" spans="1:5" x14ac:dyDescent="0.25">
      <c r="A3414" s="5">
        <f>3406</f>
      </c>
      <c r="B3414" s="5" t="s">
        <v>2960</v>
      </c>
      <c r="C3414" s="5" t="s">
        <v>11</v>
      </c>
      <c r="D3414" s="5" t="s">
        <v>12</v>
      </c>
      <c r="E3414" s="5" t="s">
        <v>2944</v>
      </c>
    </row>
    <row r="3415" spans="1:5" x14ac:dyDescent="0.25">
      <c r="A3415" s="5">
        <f>3407</f>
      </c>
      <c r="B3415" s="5" t="s">
        <v>2961</v>
      </c>
      <c r="C3415" s="5" t="s">
        <v>11</v>
      </c>
      <c r="D3415" s="5" t="s">
        <v>12</v>
      </c>
      <c r="E3415" s="5" t="s">
        <v>2944</v>
      </c>
    </row>
    <row r="3416" spans="1:5" x14ac:dyDescent="0.25">
      <c r="A3416" s="5">
        <f>3408</f>
      </c>
      <c r="B3416" s="5" t="s">
        <v>2961</v>
      </c>
      <c r="C3416" s="5" t="s">
        <v>11</v>
      </c>
      <c r="D3416" s="5" t="s">
        <v>12</v>
      </c>
      <c r="E3416" s="5" t="s">
        <v>2944</v>
      </c>
    </row>
    <row r="3417" spans="1:5" x14ac:dyDescent="0.25">
      <c r="A3417" s="5">
        <f>3409</f>
      </c>
      <c r="B3417" s="5" t="s">
        <v>2962</v>
      </c>
      <c r="C3417" s="5" t="s">
        <v>11</v>
      </c>
      <c r="D3417" s="5" t="s">
        <v>12</v>
      </c>
      <c r="E3417" s="5" t="s">
        <v>2944</v>
      </c>
    </row>
    <row r="3418" spans="1:5" x14ac:dyDescent="0.25">
      <c r="A3418" s="5">
        <f>3410</f>
      </c>
      <c r="B3418" s="5" t="s">
        <v>2962</v>
      </c>
      <c r="C3418" s="5" t="s">
        <v>11</v>
      </c>
      <c r="D3418" s="5" t="s">
        <v>12</v>
      </c>
      <c r="E3418" s="5" t="s">
        <v>2944</v>
      </c>
    </row>
    <row r="3419" spans="1:5" x14ac:dyDescent="0.25">
      <c r="A3419" s="5">
        <f>3411</f>
      </c>
      <c r="B3419" s="5" t="s">
        <v>2963</v>
      </c>
      <c r="C3419" s="5" t="s">
        <v>11</v>
      </c>
      <c r="D3419" s="5" t="s">
        <v>12</v>
      </c>
      <c r="E3419" s="5" t="s">
        <v>2944</v>
      </c>
    </row>
    <row r="3420" spans="1:5" x14ac:dyDescent="0.25">
      <c r="A3420" s="5">
        <f>3412</f>
      </c>
      <c r="B3420" s="5" t="s">
        <v>2963</v>
      </c>
      <c r="C3420" s="5" t="s">
        <v>11</v>
      </c>
      <c r="D3420" s="5" t="s">
        <v>12</v>
      </c>
      <c r="E3420" s="5" t="s">
        <v>2944</v>
      </c>
    </row>
    <row r="3421" spans="1:5" x14ac:dyDescent="0.25">
      <c r="A3421" s="5">
        <f>3413</f>
      </c>
      <c r="B3421" s="5" t="s">
        <v>2964</v>
      </c>
      <c r="C3421" s="5" t="s">
        <v>11</v>
      </c>
      <c r="D3421" s="5" t="s">
        <v>12</v>
      </c>
      <c r="E3421" s="5" t="s">
        <v>2944</v>
      </c>
    </row>
    <row r="3422" spans="1:5" x14ac:dyDescent="0.25">
      <c r="A3422" s="5">
        <f>3414</f>
      </c>
      <c r="B3422" s="5" t="s">
        <v>2964</v>
      </c>
      <c r="C3422" s="5" t="s">
        <v>11</v>
      </c>
      <c r="D3422" s="5" t="s">
        <v>12</v>
      </c>
      <c r="E3422" s="5" t="s">
        <v>2944</v>
      </c>
    </row>
    <row r="3423" spans="1:5" x14ac:dyDescent="0.25">
      <c r="A3423" s="5">
        <f>3415</f>
      </c>
      <c r="B3423" s="5" t="s">
        <v>2965</v>
      </c>
      <c r="C3423" s="5" t="s">
        <v>11</v>
      </c>
      <c r="D3423" s="5" t="s">
        <v>12</v>
      </c>
      <c r="E3423" s="5" t="s">
        <v>2944</v>
      </c>
    </row>
    <row r="3424" spans="1:5" x14ac:dyDescent="0.25">
      <c r="A3424" s="5">
        <f>3416</f>
      </c>
      <c r="B3424" s="5" t="s">
        <v>2965</v>
      </c>
      <c r="C3424" s="5" t="s">
        <v>11</v>
      </c>
      <c r="D3424" s="5" t="s">
        <v>12</v>
      </c>
      <c r="E3424" s="5" t="s">
        <v>2944</v>
      </c>
    </row>
    <row r="3425" spans="1:5" x14ac:dyDescent="0.25">
      <c r="A3425" s="5">
        <f>3417</f>
      </c>
      <c r="B3425" s="5" t="s">
        <v>2966</v>
      </c>
      <c r="C3425" s="5" t="s">
        <v>11</v>
      </c>
      <c r="D3425" s="5" t="s">
        <v>12</v>
      </c>
      <c r="E3425" s="5" t="s">
        <v>2944</v>
      </c>
    </row>
    <row r="3426" spans="1:5" x14ac:dyDescent="0.25">
      <c r="A3426" s="5">
        <f>3418</f>
      </c>
      <c r="B3426" s="5" t="s">
        <v>2966</v>
      </c>
      <c r="C3426" s="5" t="s">
        <v>11</v>
      </c>
      <c r="D3426" s="5" t="s">
        <v>12</v>
      </c>
      <c r="E3426" s="5" t="s">
        <v>2944</v>
      </c>
    </row>
    <row r="3427" spans="1:5" x14ac:dyDescent="0.25">
      <c r="A3427" s="5">
        <f>3419</f>
      </c>
      <c r="B3427" s="5" t="s">
        <v>2967</v>
      </c>
      <c r="C3427" s="5" t="s">
        <v>11</v>
      </c>
      <c r="D3427" s="5" t="s">
        <v>12</v>
      </c>
      <c r="E3427" s="5" t="s">
        <v>2944</v>
      </c>
    </row>
    <row r="3428" spans="1:5" x14ac:dyDescent="0.25">
      <c r="A3428" s="5">
        <f>3420</f>
      </c>
      <c r="B3428" s="5" t="s">
        <v>2967</v>
      </c>
      <c r="C3428" s="5" t="s">
        <v>11</v>
      </c>
      <c r="D3428" s="5" t="s">
        <v>12</v>
      </c>
      <c r="E3428" s="5" t="s">
        <v>2944</v>
      </c>
    </row>
    <row r="3429" spans="1:5" x14ac:dyDescent="0.25">
      <c r="A3429" s="5">
        <f>3421</f>
      </c>
      <c r="B3429" s="5" t="s">
        <v>2968</v>
      </c>
      <c r="C3429" s="5" t="s">
        <v>11</v>
      </c>
      <c r="D3429" s="5" t="s">
        <v>12</v>
      </c>
      <c r="E3429" s="5" t="s">
        <v>2944</v>
      </c>
    </row>
    <row r="3430" spans="1:5" x14ac:dyDescent="0.25">
      <c r="A3430" s="5">
        <f>3422</f>
      </c>
      <c r="B3430" s="5" t="s">
        <v>2968</v>
      </c>
      <c r="C3430" s="5" t="s">
        <v>11</v>
      </c>
      <c r="D3430" s="5" t="s">
        <v>12</v>
      </c>
      <c r="E3430" s="5" t="s">
        <v>2944</v>
      </c>
    </row>
    <row r="3431" spans="1:5" x14ac:dyDescent="0.25">
      <c r="A3431" s="5">
        <f>3423</f>
      </c>
      <c r="B3431" s="5" t="s">
        <v>2969</v>
      </c>
      <c r="C3431" s="5" t="s">
        <v>11</v>
      </c>
      <c r="D3431" s="5" t="s">
        <v>12</v>
      </c>
      <c r="E3431" s="5" t="s">
        <v>2944</v>
      </c>
    </row>
    <row r="3432" spans="1:5" x14ac:dyDescent="0.25">
      <c r="A3432" s="5">
        <f>3424</f>
      </c>
      <c r="B3432" s="5" t="s">
        <v>2969</v>
      </c>
      <c r="C3432" s="5" t="s">
        <v>11</v>
      </c>
      <c r="D3432" s="5" t="s">
        <v>12</v>
      </c>
      <c r="E3432" s="5" t="s">
        <v>2944</v>
      </c>
    </row>
    <row r="3433" spans="1:5" x14ac:dyDescent="0.25">
      <c r="A3433" s="5">
        <f>3425</f>
      </c>
      <c r="B3433" s="5" t="s">
        <v>2970</v>
      </c>
      <c r="C3433" s="5" t="s">
        <v>11</v>
      </c>
      <c r="D3433" s="5" t="s">
        <v>12</v>
      </c>
      <c r="E3433" s="5" t="s">
        <v>2944</v>
      </c>
    </row>
    <row r="3434" spans="1:5" x14ac:dyDescent="0.25">
      <c r="A3434" s="5">
        <f>3426</f>
      </c>
      <c r="B3434" s="5" t="s">
        <v>2970</v>
      </c>
      <c r="C3434" s="5" t="s">
        <v>11</v>
      </c>
      <c r="D3434" s="5" t="s">
        <v>12</v>
      </c>
      <c r="E3434" s="5" t="s">
        <v>2944</v>
      </c>
    </row>
    <row r="3435" spans="1:5" x14ac:dyDescent="0.25">
      <c r="A3435" s="5">
        <f>3427</f>
      </c>
      <c r="B3435" s="5" t="s">
        <v>2971</v>
      </c>
      <c r="C3435" s="5" t="s">
        <v>11</v>
      </c>
      <c r="D3435" s="5" t="s">
        <v>12</v>
      </c>
      <c r="E3435" s="5" t="s">
        <v>2944</v>
      </c>
    </row>
    <row r="3436" spans="1:5" x14ac:dyDescent="0.25">
      <c r="A3436" s="5">
        <f>3428</f>
      </c>
      <c r="B3436" s="5" t="s">
        <v>2971</v>
      </c>
      <c r="C3436" s="5" t="s">
        <v>11</v>
      </c>
      <c r="D3436" s="5" t="s">
        <v>12</v>
      </c>
      <c r="E3436" s="5" t="s">
        <v>2944</v>
      </c>
    </row>
    <row r="3437" spans="1:5" x14ac:dyDescent="0.25">
      <c r="A3437" s="5">
        <f>3429</f>
      </c>
      <c r="B3437" s="5" t="s">
        <v>2972</v>
      </c>
      <c r="C3437" s="5" t="s">
        <v>11</v>
      </c>
      <c r="D3437" s="5" t="s">
        <v>12</v>
      </c>
      <c r="E3437" s="5" t="s">
        <v>2944</v>
      </c>
    </row>
    <row r="3438" spans="1:5" x14ac:dyDescent="0.25">
      <c r="A3438" s="5">
        <f>3430</f>
      </c>
      <c r="B3438" s="5" t="s">
        <v>2972</v>
      </c>
      <c r="C3438" s="5" t="s">
        <v>11</v>
      </c>
      <c r="D3438" s="5" t="s">
        <v>12</v>
      </c>
      <c r="E3438" s="5" t="s">
        <v>2944</v>
      </c>
    </row>
    <row r="3439" spans="1:5" x14ac:dyDescent="0.25">
      <c r="A3439" s="5">
        <f>3431</f>
      </c>
      <c r="B3439" s="5" t="s">
        <v>2973</v>
      </c>
      <c r="C3439" s="5" t="s">
        <v>11</v>
      </c>
      <c r="D3439" s="5" t="s">
        <v>12</v>
      </c>
      <c r="E3439" s="5" t="s">
        <v>2944</v>
      </c>
    </row>
    <row r="3440" spans="1:5" x14ac:dyDescent="0.25">
      <c r="A3440" s="5">
        <f>3432</f>
      </c>
      <c r="B3440" s="5" t="s">
        <v>2973</v>
      </c>
      <c r="C3440" s="5" t="s">
        <v>11</v>
      </c>
      <c r="D3440" s="5" t="s">
        <v>12</v>
      </c>
      <c r="E3440" s="5" t="s">
        <v>2944</v>
      </c>
    </row>
    <row r="3441" spans="1:5" x14ac:dyDescent="0.25">
      <c r="A3441" s="5">
        <f>3433</f>
      </c>
      <c r="B3441" s="5" t="s">
        <v>2974</v>
      </c>
      <c r="C3441" s="5" t="s">
        <v>11</v>
      </c>
      <c r="D3441" s="5" t="s">
        <v>12</v>
      </c>
      <c r="E3441" s="5" t="s">
        <v>2944</v>
      </c>
    </row>
    <row r="3442" spans="1:5" x14ac:dyDescent="0.25">
      <c r="A3442" s="5">
        <f>3434</f>
      </c>
      <c r="B3442" s="5" t="s">
        <v>2974</v>
      </c>
      <c r="C3442" s="5" t="s">
        <v>11</v>
      </c>
      <c r="D3442" s="5" t="s">
        <v>12</v>
      </c>
      <c r="E3442" s="5" t="s">
        <v>2944</v>
      </c>
    </row>
    <row r="3443" spans="1:5" x14ac:dyDescent="0.25">
      <c r="A3443" s="5">
        <f>3435</f>
      </c>
      <c r="B3443" s="5" t="s">
        <v>2975</v>
      </c>
      <c r="C3443" s="5" t="s">
        <v>11</v>
      </c>
      <c r="D3443" s="5" t="s">
        <v>12</v>
      </c>
      <c r="E3443" s="5" t="s">
        <v>2944</v>
      </c>
    </row>
    <row r="3444" spans="1:5" x14ac:dyDescent="0.25">
      <c r="A3444" s="5">
        <f>3436</f>
      </c>
      <c r="B3444" s="5" t="s">
        <v>2975</v>
      </c>
      <c r="C3444" s="5" t="s">
        <v>11</v>
      </c>
      <c r="D3444" s="5" t="s">
        <v>12</v>
      </c>
      <c r="E3444" s="5" t="s">
        <v>2944</v>
      </c>
    </row>
    <row r="3445" spans="1:5" x14ac:dyDescent="0.25">
      <c r="A3445" s="5">
        <f>3437</f>
      </c>
      <c r="B3445" s="5" t="s">
        <v>2976</v>
      </c>
      <c r="C3445" s="5" t="s">
        <v>11</v>
      </c>
      <c r="D3445" s="5" t="s">
        <v>12</v>
      </c>
      <c r="E3445" s="5" t="s">
        <v>2944</v>
      </c>
    </row>
    <row r="3446" spans="1:5" x14ac:dyDescent="0.25">
      <c r="A3446" s="5">
        <f>3438</f>
      </c>
      <c r="B3446" s="5" t="s">
        <v>2976</v>
      </c>
      <c r="C3446" s="5" t="s">
        <v>11</v>
      </c>
      <c r="D3446" s="5" t="s">
        <v>12</v>
      </c>
      <c r="E3446" s="5" t="s">
        <v>2944</v>
      </c>
    </row>
    <row r="3447" spans="1:5" x14ac:dyDescent="0.25">
      <c r="A3447" s="5">
        <f>3439</f>
      </c>
      <c r="B3447" s="5" t="s">
        <v>2977</v>
      </c>
      <c r="C3447" s="5" t="s">
        <v>11</v>
      </c>
      <c r="D3447" s="5" t="s">
        <v>12</v>
      </c>
      <c r="E3447" s="5" t="s">
        <v>2944</v>
      </c>
    </row>
    <row r="3448" spans="1:5" x14ac:dyDescent="0.25">
      <c r="A3448" s="5">
        <f>3440</f>
      </c>
      <c r="B3448" s="5" t="s">
        <v>2977</v>
      </c>
      <c r="C3448" s="5" t="s">
        <v>11</v>
      </c>
      <c r="D3448" s="5" t="s">
        <v>12</v>
      </c>
      <c r="E3448" s="5" t="s">
        <v>2944</v>
      </c>
    </row>
    <row r="3449" spans="1:5" x14ac:dyDescent="0.25">
      <c r="A3449" s="5">
        <f>3441</f>
      </c>
      <c r="B3449" s="5" t="s">
        <v>2978</v>
      </c>
      <c r="C3449" s="5" t="s">
        <v>11</v>
      </c>
      <c r="D3449" s="5" t="s">
        <v>12</v>
      </c>
      <c r="E3449" s="5" t="s">
        <v>2944</v>
      </c>
    </row>
    <row r="3450" spans="1:5" x14ac:dyDescent="0.25">
      <c r="A3450" s="5">
        <f>3442</f>
      </c>
      <c r="B3450" s="5" t="s">
        <v>2978</v>
      </c>
      <c r="C3450" s="5" t="s">
        <v>11</v>
      </c>
      <c r="D3450" s="5" t="s">
        <v>12</v>
      </c>
      <c r="E3450" s="5" t="s">
        <v>2944</v>
      </c>
    </row>
    <row r="3451" spans="1:5" x14ac:dyDescent="0.25">
      <c r="A3451" s="5">
        <f>3443</f>
      </c>
      <c r="B3451" s="5" t="s">
        <v>2979</v>
      </c>
      <c r="C3451" s="5" t="s">
        <v>11</v>
      </c>
      <c r="D3451" s="5" t="s">
        <v>12</v>
      </c>
      <c r="E3451" s="5" t="s">
        <v>2944</v>
      </c>
    </row>
    <row r="3452" spans="1:5" x14ac:dyDescent="0.25">
      <c r="A3452" s="5">
        <f>3444</f>
      </c>
      <c r="B3452" s="5" t="s">
        <v>2979</v>
      </c>
      <c r="C3452" s="5" t="s">
        <v>11</v>
      </c>
      <c r="D3452" s="5" t="s">
        <v>12</v>
      </c>
      <c r="E3452" s="5" t="s">
        <v>2944</v>
      </c>
    </row>
    <row r="3453" spans="1:5" x14ac:dyDescent="0.25">
      <c r="A3453" s="5">
        <f>3445</f>
      </c>
      <c r="B3453" s="5" t="s">
        <v>2980</v>
      </c>
      <c r="C3453" s="5" t="s">
        <v>11</v>
      </c>
      <c r="D3453" s="5" t="s">
        <v>12</v>
      </c>
      <c r="E3453" s="5" t="s">
        <v>2944</v>
      </c>
    </row>
    <row r="3454" spans="1:5" x14ac:dyDescent="0.25">
      <c r="A3454" s="5">
        <f>3446</f>
      </c>
      <c r="B3454" s="5" t="s">
        <v>2980</v>
      </c>
      <c r="C3454" s="5" t="s">
        <v>11</v>
      </c>
      <c r="D3454" s="5" t="s">
        <v>12</v>
      </c>
      <c r="E3454" s="5" t="s">
        <v>2944</v>
      </c>
    </row>
    <row r="3455" spans="1:5" x14ac:dyDescent="0.25">
      <c r="A3455" s="5">
        <f>3447</f>
      </c>
      <c r="B3455" s="5" t="s">
        <v>2981</v>
      </c>
      <c r="C3455" s="5" t="s">
        <v>11</v>
      </c>
      <c r="D3455" s="5" t="s">
        <v>12</v>
      </c>
      <c r="E3455" s="5" t="s">
        <v>2944</v>
      </c>
    </row>
    <row r="3456" spans="1:5" x14ac:dyDescent="0.25">
      <c r="A3456" s="5">
        <f>3448</f>
      </c>
      <c r="B3456" s="5" t="s">
        <v>2981</v>
      </c>
      <c r="C3456" s="5" t="s">
        <v>11</v>
      </c>
      <c r="D3456" s="5" t="s">
        <v>12</v>
      </c>
      <c r="E3456" s="5" t="s">
        <v>2944</v>
      </c>
    </row>
    <row r="3457" spans="1:5" x14ac:dyDescent="0.25">
      <c r="A3457" s="5">
        <f>3449</f>
      </c>
      <c r="B3457" s="5" t="s">
        <v>2982</v>
      </c>
      <c r="C3457" s="5" t="s">
        <v>11</v>
      </c>
      <c r="D3457" s="5" t="s">
        <v>12</v>
      </c>
      <c r="E3457" s="5" t="s">
        <v>2944</v>
      </c>
    </row>
    <row r="3458" spans="1:5" x14ac:dyDescent="0.25">
      <c r="A3458" s="5">
        <f>3450</f>
      </c>
      <c r="B3458" s="5" t="s">
        <v>2982</v>
      </c>
      <c r="C3458" s="5" t="s">
        <v>11</v>
      </c>
      <c r="D3458" s="5" t="s">
        <v>12</v>
      </c>
      <c r="E3458" s="5" t="s">
        <v>2944</v>
      </c>
    </row>
    <row r="3459" spans="1:5" x14ac:dyDescent="0.25">
      <c r="A3459" s="5">
        <f>3451</f>
      </c>
      <c r="B3459" s="5" t="s">
        <v>2983</v>
      </c>
      <c r="C3459" s="5" t="s">
        <v>11</v>
      </c>
      <c r="D3459" s="5" t="s">
        <v>12</v>
      </c>
      <c r="E3459" s="5" t="s">
        <v>2944</v>
      </c>
    </row>
    <row r="3460" spans="1:5" x14ac:dyDescent="0.25">
      <c r="A3460" s="5">
        <f>3452</f>
      </c>
      <c r="B3460" s="5" t="s">
        <v>2983</v>
      </c>
      <c r="C3460" s="5" t="s">
        <v>11</v>
      </c>
      <c r="D3460" s="5" t="s">
        <v>12</v>
      </c>
      <c r="E3460" s="5" t="s">
        <v>2944</v>
      </c>
    </row>
    <row r="3461" spans="1:5" x14ac:dyDescent="0.25">
      <c r="A3461" s="5">
        <f>3453</f>
      </c>
      <c r="B3461" s="5" t="s">
        <v>2984</v>
      </c>
      <c r="C3461" s="5" t="s">
        <v>11</v>
      </c>
      <c r="D3461" s="5" t="s">
        <v>12</v>
      </c>
      <c r="E3461" s="5" t="s">
        <v>2944</v>
      </c>
    </row>
    <row r="3462" spans="1:5" x14ac:dyDescent="0.25">
      <c r="A3462" s="5">
        <f>3454</f>
      </c>
      <c r="B3462" s="5" t="s">
        <v>2984</v>
      </c>
      <c r="C3462" s="5" t="s">
        <v>11</v>
      </c>
      <c r="D3462" s="5" t="s">
        <v>12</v>
      </c>
      <c r="E3462" s="5" t="s">
        <v>2944</v>
      </c>
    </row>
    <row r="3463" spans="1:5" x14ac:dyDescent="0.25">
      <c r="A3463" s="5">
        <f>3455</f>
      </c>
      <c r="B3463" s="5" t="s">
        <v>2985</v>
      </c>
      <c r="C3463" s="5" t="s">
        <v>11</v>
      </c>
      <c r="D3463" s="5" t="s">
        <v>12</v>
      </c>
      <c r="E3463" s="5" t="s">
        <v>2944</v>
      </c>
    </row>
    <row r="3464" spans="1:5" x14ac:dyDescent="0.25">
      <c r="A3464" s="5">
        <f>3456</f>
      </c>
      <c r="B3464" s="5" t="s">
        <v>2985</v>
      </c>
      <c r="C3464" s="5" t="s">
        <v>11</v>
      </c>
      <c r="D3464" s="5" t="s">
        <v>12</v>
      </c>
      <c r="E3464" s="5" t="s">
        <v>2944</v>
      </c>
    </row>
    <row r="3465" spans="1:5" x14ac:dyDescent="0.25">
      <c r="A3465" s="5">
        <f>3457</f>
      </c>
      <c r="B3465" s="5" t="s">
        <v>2986</v>
      </c>
      <c r="C3465" s="5" t="s">
        <v>11</v>
      </c>
      <c r="D3465" s="5" t="s">
        <v>12</v>
      </c>
      <c r="E3465" s="5" t="s">
        <v>2944</v>
      </c>
    </row>
    <row r="3466" spans="1:5" x14ac:dyDescent="0.25">
      <c r="A3466" s="5">
        <f>3458</f>
      </c>
      <c r="B3466" s="5" t="s">
        <v>2986</v>
      </c>
      <c r="C3466" s="5" t="s">
        <v>11</v>
      </c>
      <c r="D3466" s="5" t="s">
        <v>12</v>
      </c>
      <c r="E3466" s="5" t="s">
        <v>2944</v>
      </c>
    </row>
    <row r="3467" spans="1:5" x14ac:dyDescent="0.25">
      <c r="A3467" s="5">
        <f>3459</f>
      </c>
      <c r="B3467" s="5" t="s">
        <v>2987</v>
      </c>
      <c r="C3467" s="5" t="s">
        <v>11</v>
      </c>
      <c r="D3467" s="5" t="s">
        <v>12</v>
      </c>
      <c r="E3467" s="5" t="s">
        <v>2944</v>
      </c>
    </row>
    <row r="3468" spans="1:5" x14ac:dyDescent="0.25">
      <c r="A3468" s="5">
        <f>3460</f>
      </c>
      <c r="B3468" s="5" t="s">
        <v>2987</v>
      </c>
      <c r="C3468" s="5" t="s">
        <v>11</v>
      </c>
      <c r="D3468" s="5" t="s">
        <v>12</v>
      </c>
      <c r="E3468" s="5" t="s">
        <v>2944</v>
      </c>
    </row>
    <row r="3469" spans="1:5" x14ac:dyDescent="0.25">
      <c r="A3469" s="5">
        <f>3461</f>
      </c>
      <c r="B3469" s="5" t="s">
        <v>2988</v>
      </c>
      <c r="C3469" s="5" t="s">
        <v>11</v>
      </c>
      <c r="D3469" s="5" t="s">
        <v>12</v>
      </c>
      <c r="E3469" s="5" t="s">
        <v>2944</v>
      </c>
    </row>
    <row r="3470" spans="1:5" x14ac:dyDescent="0.25">
      <c r="A3470" s="5">
        <f>3462</f>
      </c>
      <c r="B3470" s="5" t="s">
        <v>2988</v>
      </c>
      <c r="C3470" s="5" t="s">
        <v>11</v>
      </c>
      <c r="D3470" s="5" t="s">
        <v>12</v>
      </c>
      <c r="E3470" s="5" t="s">
        <v>2944</v>
      </c>
    </row>
    <row r="3471" spans="1:5" x14ac:dyDescent="0.25">
      <c r="A3471" s="5">
        <f>3463</f>
      </c>
      <c r="B3471" s="5" t="s">
        <v>2989</v>
      </c>
      <c r="C3471" s="5" t="s">
        <v>11</v>
      </c>
      <c r="D3471" s="5" t="s">
        <v>12</v>
      </c>
      <c r="E3471" s="5" t="s">
        <v>2944</v>
      </c>
    </row>
    <row r="3472" spans="1:5" x14ac:dyDescent="0.25">
      <c r="A3472" s="5">
        <f>3464</f>
      </c>
      <c r="B3472" s="5" t="s">
        <v>2989</v>
      </c>
      <c r="C3472" s="5" t="s">
        <v>11</v>
      </c>
      <c r="D3472" s="5" t="s">
        <v>12</v>
      </c>
      <c r="E3472" s="5" t="s">
        <v>2944</v>
      </c>
    </row>
    <row r="3473" spans="1:5" x14ac:dyDescent="0.25">
      <c r="A3473" s="5">
        <f>3465</f>
      </c>
      <c r="B3473" s="5" t="s">
        <v>2990</v>
      </c>
      <c r="C3473" s="5" t="s">
        <v>11</v>
      </c>
      <c r="D3473" s="5" t="s">
        <v>12</v>
      </c>
      <c r="E3473" s="5" t="s">
        <v>2944</v>
      </c>
    </row>
    <row r="3474" spans="1:5" x14ac:dyDescent="0.25">
      <c r="A3474" s="5">
        <f>3466</f>
      </c>
      <c r="B3474" s="5" t="s">
        <v>2990</v>
      </c>
      <c r="C3474" s="5" t="s">
        <v>11</v>
      </c>
      <c r="D3474" s="5" t="s">
        <v>12</v>
      </c>
      <c r="E3474" s="5" t="s">
        <v>2944</v>
      </c>
    </row>
    <row r="3475" spans="1:5" x14ac:dyDescent="0.25">
      <c r="A3475" s="5">
        <f>3467</f>
      </c>
      <c r="B3475" s="5" t="s">
        <v>2991</v>
      </c>
      <c r="C3475" s="5" t="s">
        <v>11</v>
      </c>
      <c r="D3475" s="5" t="s">
        <v>12</v>
      </c>
      <c r="E3475" s="5" t="s">
        <v>2944</v>
      </c>
    </row>
    <row r="3476" spans="1:5" x14ac:dyDescent="0.25">
      <c r="A3476" s="5">
        <f>3468</f>
      </c>
      <c r="B3476" s="5" t="s">
        <v>2991</v>
      </c>
      <c r="C3476" s="5" t="s">
        <v>11</v>
      </c>
      <c r="D3476" s="5" t="s">
        <v>12</v>
      </c>
      <c r="E3476" s="5" t="s">
        <v>2944</v>
      </c>
    </row>
    <row r="3477" spans="1:5" x14ac:dyDescent="0.25">
      <c r="A3477" s="5">
        <f>3469</f>
      </c>
      <c r="B3477" s="5" t="s">
        <v>2992</v>
      </c>
      <c r="C3477" s="5" t="s">
        <v>11</v>
      </c>
      <c r="D3477" s="5" t="s">
        <v>12</v>
      </c>
      <c r="E3477" s="5" t="s">
        <v>2944</v>
      </c>
    </row>
    <row r="3478" spans="1:5" x14ac:dyDescent="0.25">
      <c r="A3478" s="5">
        <f>3470</f>
      </c>
      <c r="B3478" s="5" t="s">
        <v>2992</v>
      </c>
      <c r="C3478" s="5" t="s">
        <v>11</v>
      </c>
      <c r="D3478" s="5" t="s">
        <v>12</v>
      </c>
      <c r="E3478" s="5" t="s">
        <v>2944</v>
      </c>
    </row>
    <row r="3479" spans="1:5" x14ac:dyDescent="0.25">
      <c r="A3479" s="5">
        <f>3471</f>
      </c>
      <c r="B3479" s="5" t="s">
        <v>2993</v>
      </c>
      <c r="C3479" s="5" t="s">
        <v>11</v>
      </c>
      <c r="D3479" s="5" t="s">
        <v>12</v>
      </c>
      <c r="E3479" s="5" t="s">
        <v>2944</v>
      </c>
    </row>
    <row r="3480" spans="1:5" x14ac:dyDescent="0.25">
      <c r="A3480" s="5">
        <f>3472</f>
      </c>
      <c r="B3480" s="5" t="s">
        <v>2993</v>
      </c>
      <c r="C3480" s="5" t="s">
        <v>11</v>
      </c>
      <c r="D3480" s="5" t="s">
        <v>12</v>
      </c>
      <c r="E3480" s="5" t="s">
        <v>2944</v>
      </c>
    </row>
    <row r="3481" spans="1:5" x14ac:dyDescent="0.25">
      <c r="A3481" s="5">
        <f>3473</f>
      </c>
      <c r="B3481" s="5" t="s">
        <v>2994</v>
      </c>
      <c r="C3481" s="5" t="s">
        <v>11</v>
      </c>
      <c r="D3481" s="5" t="s">
        <v>12</v>
      </c>
      <c r="E3481" s="5" t="s">
        <v>2944</v>
      </c>
    </row>
    <row r="3482" spans="1:5" x14ac:dyDescent="0.25">
      <c r="A3482" s="5">
        <f>3474</f>
      </c>
      <c r="B3482" s="5" t="s">
        <v>2994</v>
      </c>
      <c r="C3482" s="5" t="s">
        <v>11</v>
      </c>
      <c r="D3482" s="5" t="s">
        <v>12</v>
      </c>
      <c r="E3482" s="5" t="s">
        <v>2944</v>
      </c>
    </row>
    <row r="3483" spans="1:5" x14ac:dyDescent="0.25">
      <c r="A3483" s="5">
        <f>3475</f>
      </c>
      <c r="B3483" s="5" t="s">
        <v>2995</v>
      </c>
      <c r="C3483" s="5" t="s">
        <v>11</v>
      </c>
      <c r="D3483" s="5" t="s">
        <v>12</v>
      </c>
      <c r="E3483" s="5" t="s">
        <v>2944</v>
      </c>
    </row>
    <row r="3484" spans="1:5" x14ac:dyDescent="0.25">
      <c r="A3484" s="5">
        <f>3476</f>
      </c>
      <c r="B3484" s="5" t="s">
        <v>2995</v>
      </c>
      <c r="C3484" s="5" t="s">
        <v>11</v>
      </c>
      <c r="D3484" s="5" t="s">
        <v>12</v>
      </c>
      <c r="E3484" s="5" t="s">
        <v>2944</v>
      </c>
    </row>
    <row r="3485" spans="1:5" x14ac:dyDescent="0.25">
      <c r="A3485" s="5">
        <f>3477</f>
      </c>
      <c r="B3485" s="5" t="s">
        <v>2996</v>
      </c>
      <c r="C3485" s="5" t="s">
        <v>11</v>
      </c>
      <c r="D3485" s="5" t="s">
        <v>12</v>
      </c>
      <c r="E3485" s="5" t="s">
        <v>2944</v>
      </c>
    </row>
    <row r="3486" spans="1:5" x14ac:dyDescent="0.25">
      <c r="A3486" s="5">
        <f>3478</f>
      </c>
      <c r="B3486" s="5" t="s">
        <v>2996</v>
      </c>
      <c r="C3486" s="5" t="s">
        <v>11</v>
      </c>
      <c r="D3486" s="5" t="s">
        <v>12</v>
      </c>
      <c r="E3486" s="5" t="s">
        <v>2944</v>
      </c>
    </row>
    <row r="3487" spans="1:5" x14ac:dyDescent="0.25">
      <c r="A3487" s="5">
        <f>3479</f>
      </c>
      <c r="B3487" s="5" t="s">
        <v>2997</v>
      </c>
      <c r="C3487" s="5" t="s">
        <v>11</v>
      </c>
      <c r="D3487" s="5" t="s">
        <v>12</v>
      </c>
      <c r="E3487" s="5" t="s">
        <v>2944</v>
      </c>
    </row>
    <row r="3488" spans="1:5" x14ac:dyDescent="0.25">
      <c r="A3488" s="5">
        <f>3480</f>
      </c>
      <c r="B3488" s="5" t="s">
        <v>2997</v>
      </c>
      <c r="C3488" s="5" t="s">
        <v>11</v>
      </c>
      <c r="D3488" s="5" t="s">
        <v>12</v>
      </c>
      <c r="E3488" s="5" t="s">
        <v>2944</v>
      </c>
    </row>
    <row r="3489" spans="1:5" x14ac:dyDescent="0.25">
      <c r="A3489" s="5">
        <f>3481</f>
      </c>
      <c r="B3489" s="5" t="s">
        <v>2998</v>
      </c>
      <c r="C3489" s="5" t="s">
        <v>11</v>
      </c>
      <c r="D3489" s="5" t="s">
        <v>12</v>
      </c>
      <c r="E3489" s="5" t="s">
        <v>2944</v>
      </c>
    </row>
    <row r="3490" spans="1:5" x14ac:dyDescent="0.25">
      <c r="A3490" s="5">
        <f>3482</f>
      </c>
      <c r="B3490" s="5" t="s">
        <v>2998</v>
      </c>
      <c r="C3490" s="5" t="s">
        <v>11</v>
      </c>
      <c r="D3490" s="5" t="s">
        <v>12</v>
      </c>
      <c r="E3490" s="5" t="s">
        <v>2944</v>
      </c>
    </row>
    <row r="3491" spans="1:5" x14ac:dyDescent="0.25">
      <c r="A3491" s="5">
        <f>3483</f>
      </c>
      <c r="B3491" s="5" t="s">
        <v>2999</v>
      </c>
      <c r="C3491" s="5" t="s">
        <v>11</v>
      </c>
      <c r="D3491" s="5" t="s">
        <v>12</v>
      </c>
      <c r="E3491" s="5" t="s">
        <v>2944</v>
      </c>
    </row>
    <row r="3492" spans="1:5" x14ac:dyDescent="0.25">
      <c r="A3492" s="5">
        <f>3484</f>
      </c>
      <c r="B3492" s="5" t="s">
        <v>2999</v>
      </c>
      <c r="C3492" s="5" t="s">
        <v>11</v>
      </c>
      <c r="D3492" s="5" t="s">
        <v>12</v>
      </c>
      <c r="E3492" s="5" t="s">
        <v>2944</v>
      </c>
    </row>
    <row r="3493" spans="1:5" x14ac:dyDescent="0.25">
      <c r="A3493" s="5">
        <f>3485</f>
      </c>
      <c r="B3493" s="5" t="s">
        <v>3000</v>
      </c>
      <c r="C3493" s="5" t="s">
        <v>11</v>
      </c>
      <c r="D3493" s="5" t="s">
        <v>12</v>
      </c>
      <c r="E3493" s="5" t="s">
        <v>2944</v>
      </c>
    </row>
    <row r="3494" spans="1:5" x14ac:dyDescent="0.25">
      <c r="A3494" s="5">
        <f>3486</f>
      </c>
      <c r="B3494" s="5" t="s">
        <v>3000</v>
      </c>
      <c r="C3494" s="5" t="s">
        <v>11</v>
      </c>
      <c r="D3494" s="5" t="s">
        <v>12</v>
      </c>
      <c r="E3494" s="5" t="s">
        <v>2944</v>
      </c>
    </row>
    <row r="3495" spans="1:5" x14ac:dyDescent="0.25">
      <c r="A3495" s="5">
        <f>3487</f>
      </c>
      <c r="B3495" s="5" t="s">
        <v>3001</v>
      </c>
      <c r="C3495" s="5" t="s">
        <v>11</v>
      </c>
      <c r="D3495" s="5" t="s">
        <v>12</v>
      </c>
      <c r="E3495" s="5" t="s">
        <v>2944</v>
      </c>
    </row>
    <row r="3496" spans="1:5" x14ac:dyDescent="0.25">
      <c r="A3496" s="5">
        <f>3488</f>
      </c>
      <c r="B3496" s="5" t="s">
        <v>3001</v>
      </c>
      <c r="C3496" s="5" t="s">
        <v>11</v>
      </c>
      <c r="D3496" s="5" t="s">
        <v>12</v>
      </c>
      <c r="E3496" s="5" t="s">
        <v>2944</v>
      </c>
    </row>
    <row r="3497" spans="1:5" x14ac:dyDescent="0.25">
      <c r="A3497" s="5">
        <f>3489</f>
      </c>
      <c r="B3497" s="5" t="s">
        <v>3002</v>
      </c>
      <c r="C3497" s="5" t="s">
        <v>11</v>
      </c>
      <c r="D3497" s="5" t="s">
        <v>12</v>
      </c>
      <c r="E3497" s="5" t="s">
        <v>2944</v>
      </c>
    </row>
    <row r="3498" spans="1:5" x14ac:dyDescent="0.25">
      <c r="A3498" s="5">
        <f>3490</f>
      </c>
      <c r="B3498" s="5" t="s">
        <v>3002</v>
      </c>
      <c r="C3498" s="5" t="s">
        <v>11</v>
      </c>
      <c r="D3498" s="5" t="s">
        <v>12</v>
      </c>
      <c r="E3498" s="5" t="s">
        <v>2944</v>
      </c>
    </row>
    <row r="3499" spans="1:5" x14ac:dyDescent="0.25">
      <c r="A3499" s="5">
        <f>3491</f>
      </c>
      <c r="B3499" s="5" t="s">
        <v>3003</v>
      </c>
      <c r="C3499" s="5" t="s">
        <v>11</v>
      </c>
      <c r="D3499" s="5" t="s">
        <v>12</v>
      </c>
      <c r="E3499" s="5" t="s">
        <v>2944</v>
      </c>
    </row>
    <row r="3500" spans="1:5" x14ac:dyDescent="0.25">
      <c r="A3500" s="5">
        <f>3492</f>
      </c>
      <c r="B3500" s="5" t="s">
        <v>3003</v>
      </c>
      <c r="C3500" s="5" t="s">
        <v>11</v>
      </c>
      <c r="D3500" s="5" t="s">
        <v>12</v>
      </c>
      <c r="E3500" s="5" t="s">
        <v>2944</v>
      </c>
    </row>
    <row r="3501" spans="1:5" x14ac:dyDescent="0.25">
      <c r="A3501" s="5">
        <f>3493</f>
      </c>
      <c r="B3501" s="5" t="s">
        <v>3004</v>
      </c>
      <c r="C3501" s="5" t="s">
        <v>11</v>
      </c>
      <c r="D3501" s="5" t="s">
        <v>12</v>
      </c>
      <c r="E3501" s="5" t="s">
        <v>2944</v>
      </c>
    </row>
    <row r="3502" spans="1:5" x14ac:dyDescent="0.25">
      <c r="A3502" s="5">
        <f>3494</f>
      </c>
      <c r="B3502" s="5" t="s">
        <v>3004</v>
      </c>
      <c r="C3502" s="5" t="s">
        <v>11</v>
      </c>
      <c r="D3502" s="5" t="s">
        <v>12</v>
      </c>
      <c r="E3502" s="5" t="s">
        <v>2944</v>
      </c>
    </row>
    <row r="3503" spans="1:5" x14ac:dyDescent="0.25">
      <c r="A3503" s="5">
        <f>3495</f>
      </c>
      <c r="B3503" s="5" t="s">
        <v>3005</v>
      </c>
      <c r="C3503" s="5" t="s">
        <v>11</v>
      </c>
      <c r="D3503" s="5" t="s">
        <v>12</v>
      </c>
      <c r="E3503" s="5" t="s">
        <v>2944</v>
      </c>
    </row>
    <row r="3504" spans="1:5" x14ac:dyDescent="0.25">
      <c r="A3504" s="5">
        <f>3496</f>
      </c>
      <c r="B3504" s="5" t="s">
        <v>3005</v>
      </c>
      <c r="C3504" s="5" t="s">
        <v>11</v>
      </c>
      <c r="D3504" s="5" t="s">
        <v>12</v>
      </c>
      <c r="E3504" s="5" t="s">
        <v>2944</v>
      </c>
    </row>
    <row r="3505" spans="1:5" x14ac:dyDescent="0.25">
      <c r="A3505" s="5">
        <f>3497</f>
      </c>
      <c r="B3505" s="5" t="s">
        <v>3006</v>
      </c>
      <c r="C3505" s="5" t="s">
        <v>11</v>
      </c>
      <c r="D3505" s="5" t="s">
        <v>12</v>
      </c>
      <c r="E3505" s="5" t="s">
        <v>2944</v>
      </c>
    </row>
    <row r="3506" spans="1:5" x14ac:dyDescent="0.25">
      <c r="A3506" s="5">
        <f>3498</f>
      </c>
      <c r="B3506" s="5" t="s">
        <v>3006</v>
      </c>
      <c r="C3506" s="5" t="s">
        <v>11</v>
      </c>
      <c r="D3506" s="5" t="s">
        <v>12</v>
      </c>
      <c r="E3506" s="5" t="s">
        <v>2944</v>
      </c>
    </row>
    <row r="3507" spans="1:5" x14ac:dyDescent="0.25">
      <c r="A3507" s="5">
        <f>3499</f>
      </c>
      <c r="B3507" s="5" t="s">
        <v>3007</v>
      </c>
      <c r="C3507" s="5" t="s">
        <v>11</v>
      </c>
      <c r="D3507" s="5" t="s">
        <v>12</v>
      </c>
      <c r="E3507" s="5" t="s">
        <v>2944</v>
      </c>
    </row>
    <row r="3508" spans="1:5" x14ac:dyDescent="0.25">
      <c r="A3508" s="5">
        <f>3500</f>
      </c>
      <c r="B3508" s="5" t="s">
        <v>3007</v>
      </c>
      <c r="C3508" s="5" t="s">
        <v>11</v>
      </c>
      <c r="D3508" s="5" t="s">
        <v>12</v>
      </c>
      <c r="E3508" s="5" t="s">
        <v>2944</v>
      </c>
    </row>
    <row r="3509" spans="1:5" x14ac:dyDescent="0.25">
      <c r="A3509" s="5">
        <f>3501</f>
      </c>
      <c r="B3509" s="5" t="s">
        <v>3008</v>
      </c>
      <c r="C3509" s="5" t="s">
        <v>11</v>
      </c>
      <c r="D3509" s="5" t="s">
        <v>12</v>
      </c>
      <c r="E3509" s="5" t="s">
        <v>2944</v>
      </c>
    </row>
    <row r="3510" spans="1:5" x14ac:dyDescent="0.25">
      <c r="A3510" s="5">
        <f>3502</f>
      </c>
      <c r="B3510" s="5" t="s">
        <v>3008</v>
      </c>
      <c r="C3510" s="5" t="s">
        <v>11</v>
      </c>
      <c r="D3510" s="5" t="s">
        <v>12</v>
      </c>
      <c r="E3510" s="5" t="s">
        <v>2944</v>
      </c>
    </row>
    <row r="3511" spans="1:5" x14ac:dyDescent="0.25">
      <c r="A3511" s="5">
        <f>3503</f>
      </c>
      <c r="B3511" s="5" t="s">
        <v>3009</v>
      </c>
      <c r="C3511" s="5" t="s">
        <v>11</v>
      </c>
      <c r="D3511" s="5" t="s">
        <v>12</v>
      </c>
      <c r="E3511" s="5" t="s">
        <v>2944</v>
      </c>
    </row>
    <row r="3512" spans="1:5" x14ac:dyDescent="0.25">
      <c r="A3512" s="5">
        <f>3504</f>
      </c>
      <c r="B3512" s="5" t="s">
        <v>3009</v>
      </c>
      <c r="C3512" s="5" t="s">
        <v>11</v>
      </c>
      <c r="D3512" s="5" t="s">
        <v>12</v>
      </c>
      <c r="E3512" s="5" t="s">
        <v>2944</v>
      </c>
    </row>
    <row r="3513" spans="1:5" x14ac:dyDescent="0.25">
      <c r="A3513" s="5">
        <f>3505</f>
      </c>
      <c r="B3513" s="5" t="s">
        <v>3010</v>
      </c>
      <c r="C3513" s="5" t="s">
        <v>11</v>
      </c>
      <c r="D3513" s="5" t="s">
        <v>12</v>
      </c>
      <c r="E3513" s="5" t="s">
        <v>2944</v>
      </c>
    </row>
    <row r="3514" spans="1:5" x14ac:dyDescent="0.25">
      <c r="A3514" s="5">
        <f>3506</f>
      </c>
      <c r="B3514" s="5" t="s">
        <v>3010</v>
      </c>
      <c r="C3514" s="5" t="s">
        <v>11</v>
      </c>
      <c r="D3514" s="5" t="s">
        <v>12</v>
      </c>
      <c r="E3514" s="5" t="s">
        <v>2944</v>
      </c>
    </row>
    <row r="3515" spans="1:5" x14ac:dyDescent="0.25">
      <c r="A3515" s="5">
        <f>3507</f>
      </c>
      <c r="B3515" s="5" t="s">
        <v>3011</v>
      </c>
      <c r="C3515" s="5" t="s">
        <v>11</v>
      </c>
      <c r="D3515" s="5" t="s">
        <v>12</v>
      </c>
      <c r="E3515" s="5" t="s">
        <v>2944</v>
      </c>
    </row>
    <row r="3516" spans="1:5" x14ac:dyDescent="0.25">
      <c r="A3516" s="5">
        <f>3508</f>
      </c>
      <c r="B3516" s="5" t="s">
        <v>3011</v>
      </c>
      <c r="C3516" s="5" t="s">
        <v>11</v>
      </c>
      <c r="D3516" s="5" t="s">
        <v>12</v>
      </c>
      <c r="E3516" s="5" t="s">
        <v>2944</v>
      </c>
    </row>
    <row r="3517" spans="1:5" x14ac:dyDescent="0.25">
      <c r="A3517" s="5">
        <f>3509</f>
      </c>
      <c r="B3517" s="5" t="s">
        <v>3012</v>
      </c>
      <c r="C3517" s="5" t="s">
        <v>11</v>
      </c>
      <c r="D3517" s="5" t="s">
        <v>12</v>
      </c>
      <c r="E3517" s="5" t="s">
        <v>2944</v>
      </c>
    </row>
    <row r="3518" spans="1:5" x14ac:dyDescent="0.25">
      <c r="A3518" s="5">
        <f>3510</f>
      </c>
      <c r="B3518" s="5" t="s">
        <v>3012</v>
      </c>
      <c r="C3518" s="5" t="s">
        <v>11</v>
      </c>
      <c r="D3518" s="5" t="s">
        <v>12</v>
      </c>
      <c r="E3518" s="5" t="s">
        <v>2944</v>
      </c>
    </row>
    <row r="3519" spans="1:5" x14ac:dyDescent="0.25">
      <c r="A3519" s="5">
        <f>3511</f>
      </c>
      <c r="B3519" s="5" t="s">
        <v>3013</v>
      </c>
      <c r="C3519" s="5" t="s">
        <v>11</v>
      </c>
      <c r="D3519" s="5" t="s">
        <v>12</v>
      </c>
      <c r="E3519" s="5" t="s">
        <v>2944</v>
      </c>
    </row>
    <row r="3520" spans="1:5" x14ac:dyDescent="0.25">
      <c r="A3520" s="5">
        <f>3512</f>
      </c>
      <c r="B3520" s="5" t="s">
        <v>3013</v>
      </c>
      <c r="C3520" s="5" t="s">
        <v>11</v>
      </c>
      <c r="D3520" s="5" t="s">
        <v>12</v>
      </c>
      <c r="E3520" s="5" t="s">
        <v>2944</v>
      </c>
    </row>
    <row r="3521" spans="1:5" x14ac:dyDescent="0.25">
      <c r="A3521" s="5">
        <f>3513</f>
      </c>
      <c r="B3521" s="5" t="s">
        <v>3014</v>
      </c>
      <c r="C3521" s="5" t="s">
        <v>11</v>
      </c>
      <c r="D3521" s="5" t="s">
        <v>12</v>
      </c>
      <c r="E3521" s="5" t="s">
        <v>2944</v>
      </c>
    </row>
    <row r="3522" spans="1:5" x14ac:dyDescent="0.25">
      <c r="A3522" s="5">
        <f>3514</f>
      </c>
      <c r="B3522" s="5" t="s">
        <v>3014</v>
      </c>
      <c r="C3522" s="5" t="s">
        <v>11</v>
      </c>
      <c r="D3522" s="5" t="s">
        <v>12</v>
      </c>
      <c r="E3522" s="5" t="s">
        <v>2944</v>
      </c>
    </row>
    <row r="3523" spans="1:5" x14ac:dyDescent="0.25">
      <c r="A3523" s="5">
        <f>3515</f>
      </c>
      <c r="B3523" s="5" t="s">
        <v>3015</v>
      </c>
      <c r="C3523" s="5" t="s">
        <v>11</v>
      </c>
      <c r="D3523" s="5" t="s">
        <v>12</v>
      </c>
      <c r="E3523" s="5" t="s">
        <v>2622</v>
      </c>
    </row>
    <row r="3524" spans="1:5" x14ac:dyDescent="0.25">
      <c r="A3524" s="5">
        <f>3516</f>
      </c>
      <c r="B3524" s="5" t="s">
        <v>3015</v>
      </c>
      <c r="C3524" s="5" t="s">
        <v>11</v>
      </c>
      <c r="D3524" s="5" t="s">
        <v>12</v>
      </c>
      <c r="E3524" s="5" t="s">
        <v>2622</v>
      </c>
    </row>
    <row r="3525" spans="1:5" x14ac:dyDescent="0.25">
      <c r="A3525" s="5">
        <f>3517</f>
      </c>
      <c r="B3525" s="5" t="s">
        <v>3016</v>
      </c>
      <c r="C3525" s="5" t="s">
        <v>11</v>
      </c>
      <c r="D3525" s="5" t="s">
        <v>12</v>
      </c>
      <c r="E3525" s="5" t="s">
        <v>2622</v>
      </c>
    </row>
    <row r="3526" spans="1:5" x14ac:dyDescent="0.25">
      <c r="A3526" s="5">
        <f>3518</f>
      </c>
      <c r="B3526" s="5" t="s">
        <v>3016</v>
      </c>
      <c r="C3526" s="5" t="s">
        <v>11</v>
      </c>
      <c r="D3526" s="5" t="s">
        <v>12</v>
      </c>
      <c r="E3526" s="5" t="s">
        <v>2622</v>
      </c>
    </row>
    <row r="3527" spans="1:5" x14ac:dyDescent="0.25">
      <c r="A3527" s="5">
        <f>3519</f>
      </c>
      <c r="B3527" s="5" t="s">
        <v>3017</v>
      </c>
      <c r="C3527" s="5" t="s">
        <v>11</v>
      </c>
      <c r="D3527" s="5" t="s">
        <v>12</v>
      </c>
      <c r="E3527" s="5" t="s">
        <v>2622</v>
      </c>
    </row>
    <row r="3528" spans="1:5" x14ac:dyDescent="0.25">
      <c r="A3528" s="5">
        <f>3520</f>
      </c>
      <c r="B3528" s="5" t="s">
        <v>3017</v>
      </c>
      <c r="C3528" s="5" t="s">
        <v>11</v>
      </c>
      <c r="D3528" s="5" t="s">
        <v>12</v>
      </c>
      <c r="E3528" s="5" t="s">
        <v>2622</v>
      </c>
    </row>
    <row r="3529" spans="1:5" x14ac:dyDescent="0.25">
      <c r="A3529" s="5">
        <f>3521</f>
      </c>
      <c r="B3529" s="5" t="s">
        <v>3018</v>
      </c>
      <c r="C3529" s="5" t="s">
        <v>11</v>
      </c>
      <c r="D3529" s="5" t="s">
        <v>12</v>
      </c>
      <c r="E3529" s="5" t="s">
        <v>2622</v>
      </c>
    </row>
    <row r="3530" spans="1:5" x14ac:dyDescent="0.25">
      <c r="A3530" s="5">
        <f>3522</f>
      </c>
      <c r="B3530" s="5" t="s">
        <v>3018</v>
      </c>
      <c r="C3530" s="5" t="s">
        <v>11</v>
      </c>
      <c r="D3530" s="5" t="s">
        <v>12</v>
      </c>
      <c r="E3530" s="5" t="s">
        <v>2622</v>
      </c>
    </row>
    <row r="3531" spans="1:5" x14ac:dyDescent="0.25">
      <c r="A3531" s="5">
        <f>3523</f>
      </c>
      <c r="B3531" s="5" t="s">
        <v>3019</v>
      </c>
      <c r="C3531" s="5" t="s">
        <v>11</v>
      </c>
      <c r="D3531" s="5" t="s">
        <v>12</v>
      </c>
      <c r="E3531" s="5" t="s">
        <v>2622</v>
      </c>
    </row>
    <row r="3532" spans="1:5" x14ac:dyDescent="0.25">
      <c r="A3532" s="5">
        <f>3524</f>
      </c>
      <c r="B3532" s="5" t="s">
        <v>3019</v>
      </c>
      <c r="C3532" s="5" t="s">
        <v>11</v>
      </c>
      <c r="D3532" s="5" t="s">
        <v>12</v>
      </c>
      <c r="E3532" s="5" t="s">
        <v>2622</v>
      </c>
    </row>
    <row r="3533" spans="1:5" x14ac:dyDescent="0.25">
      <c r="A3533" s="5">
        <f>3525</f>
      </c>
      <c r="B3533" s="5" t="s">
        <v>3020</v>
      </c>
      <c r="C3533" s="5" t="s">
        <v>11</v>
      </c>
      <c r="D3533" s="5" t="s">
        <v>12</v>
      </c>
      <c r="E3533" s="5" t="s">
        <v>2622</v>
      </c>
    </row>
    <row r="3534" spans="1:5" x14ac:dyDescent="0.25">
      <c r="A3534" s="5">
        <f>3526</f>
      </c>
      <c r="B3534" s="5" t="s">
        <v>3020</v>
      </c>
      <c r="C3534" s="5" t="s">
        <v>11</v>
      </c>
      <c r="D3534" s="5" t="s">
        <v>12</v>
      </c>
      <c r="E3534" s="5" t="s">
        <v>2622</v>
      </c>
    </row>
    <row r="3535" spans="1:5" x14ac:dyDescent="0.25">
      <c r="A3535" s="5">
        <f>3527</f>
      </c>
      <c r="B3535" s="5" t="s">
        <v>3021</v>
      </c>
      <c r="C3535" s="5" t="s">
        <v>11</v>
      </c>
      <c r="D3535" s="5" t="s">
        <v>12</v>
      </c>
      <c r="E3535" s="5" t="s">
        <v>2622</v>
      </c>
    </row>
    <row r="3536" spans="1:5" x14ac:dyDescent="0.25">
      <c r="A3536" s="5">
        <f>3528</f>
      </c>
      <c r="B3536" s="5" t="s">
        <v>3021</v>
      </c>
      <c r="C3536" s="5" t="s">
        <v>11</v>
      </c>
      <c r="D3536" s="5" t="s">
        <v>12</v>
      </c>
      <c r="E3536" s="5" t="s">
        <v>2622</v>
      </c>
    </row>
    <row r="3537" spans="1:5" x14ac:dyDescent="0.25">
      <c r="A3537" s="5">
        <f>3529</f>
      </c>
      <c r="B3537" s="5" t="s">
        <v>3022</v>
      </c>
      <c r="C3537" s="5" t="s">
        <v>11</v>
      </c>
      <c r="D3537" s="5" t="s">
        <v>12</v>
      </c>
      <c r="E3537" s="5" t="s">
        <v>2622</v>
      </c>
    </row>
    <row r="3538" spans="1:5" x14ac:dyDescent="0.25">
      <c r="A3538" s="5">
        <f>3530</f>
      </c>
      <c r="B3538" s="5" t="s">
        <v>3022</v>
      </c>
      <c r="C3538" s="5" t="s">
        <v>11</v>
      </c>
      <c r="D3538" s="5" t="s">
        <v>12</v>
      </c>
      <c r="E3538" s="5" t="s">
        <v>2622</v>
      </c>
    </row>
    <row r="3539" spans="1:5" x14ac:dyDescent="0.25">
      <c r="A3539" s="5">
        <f>3531</f>
      </c>
      <c r="B3539" s="5" t="s">
        <v>3023</v>
      </c>
      <c r="C3539" s="5" t="s">
        <v>11</v>
      </c>
      <c r="D3539" s="5" t="s">
        <v>12</v>
      </c>
      <c r="E3539" s="5" t="s">
        <v>2622</v>
      </c>
    </row>
    <row r="3540" spans="1:5" x14ac:dyDescent="0.25">
      <c r="A3540" s="5">
        <f>3532</f>
      </c>
      <c r="B3540" s="5" t="s">
        <v>3023</v>
      </c>
      <c r="C3540" s="5" t="s">
        <v>11</v>
      </c>
      <c r="D3540" s="5" t="s">
        <v>12</v>
      </c>
      <c r="E3540" s="5" t="s">
        <v>2622</v>
      </c>
    </row>
    <row r="3541" spans="1:5" x14ac:dyDescent="0.25">
      <c r="A3541" s="5">
        <f>3533</f>
      </c>
      <c r="B3541" s="5" t="s">
        <v>3024</v>
      </c>
      <c r="C3541" s="5" t="s">
        <v>11</v>
      </c>
      <c r="D3541" s="5" t="s">
        <v>12</v>
      </c>
      <c r="E3541" s="5" t="s">
        <v>2622</v>
      </c>
    </row>
    <row r="3542" spans="1:5" x14ac:dyDescent="0.25">
      <c r="A3542" s="5">
        <f>3534</f>
      </c>
      <c r="B3542" s="5" t="s">
        <v>3024</v>
      </c>
      <c r="C3542" s="5" t="s">
        <v>11</v>
      </c>
      <c r="D3542" s="5" t="s">
        <v>12</v>
      </c>
      <c r="E3542" s="5" t="s">
        <v>2622</v>
      </c>
    </row>
    <row r="3543" spans="1:5" x14ac:dyDescent="0.25">
      <c r="A3543" s="5">
        <f>3535</f>
      </c>
      <c r="B3543" s="5" t="s">
        <v>3025</v>
      </c>
      <c r="C3543" s="5" t="s">
        <v>11</v>
      </c>
      <c r="D3543" s="5" t="s">
        <v>12</v>
      </c>
      <c r="E3543" s="5" t="s">
        <v>2622</v>
      </c>
    </row>
    <row r="3544" spans="1:5" x14ac:dyDescent="0.25">
      <c r="A3544" s="5">
        <f>3536</f>
      </c>
      <c r="B3544" s="5" t="s">
        <v>3025</v>
      </c>
      <c r="C3544" s="5" t="s">
        <v>11</v>
      </c>
      <c r="D3544" s="5" t="s">
        <v>12</v>
      </c>
      <c r="E3544" s="5" t="s">
        <v>2622</v>
      </c>
    </row>
    <row r="3545" spans="1:5" x14ac:dyDescent="0.25">
      <c r="A3545" s="5">
        <f>3537</f>
      </c>
      <c r="B3545" s="5" t="s">
        <v>3026</v>
      </c>
      <c r="C3545" s="5" t="s">
        <v>11</v>
      </c>
      <c r="D3545" s="5" t="s">
        <v>12</v>
      </c>
      <c r="E3545" s="5" t="s">
        <v>2622</v>
      </c>
    </row>
    <row r="3546" spans="1:5" x14ac:dyDescent="0.25">
      <c r="A3546" s="5">
        <f>3538</f>
      </c>
      <c r="B3546" s="5" t="s">
        <v>3026</v>
      </c>
      <c r="C3546" s="5" t="s">
        <v>11</v>
      </c>
      <c r="D3546" s="5" t="s">
        <v>12</v>
      </c>
      <c r="E3546" s="5" t="s">
        <v>2622</v>
      </c>
    </row>
    <row r="3547" spans="1:5" x14ac:dyDescent="0.25">
      <c r="A3547" s="5">
        <f>3539</f>
      </c>
      <c r="B3547" s="5" t="s">
        <v>3027</v>
      </c>
      <c r="C3547" s="5" t="s">
        <v>11</v>
      </c>
      <c r="D3547" s="5" t="s">
        <v>12</v>
      </c>
      <c r="E3547" s="5" t="s">
        <v>2622</v>
      </c>
    </row>
    <row r="3548" spans="1:5" x14ac:dyDescent="0.25">
      <c r="A3548" s="5">
        <f>3540</f>
      </c>
      <c r="B3548" s="5" t="s">
        <v>3027</v>
      </c>
      <c r="C3548" s="5" t="s">
        <v>11</v>
      </c>
      <c r="D3548" s="5" t="s">
        <v>12</v>
      </c>
      <c r="E3548" s="5" t="s">
        <v>2622</v>
      </c>
    </row>
    <row r="3549" spans="1:5" x14ac:dyDescent="0.25">
      <c r="A3549" s="5">
        <f>3541</f>
      </c>
      <c r="B3549" s="5" t="s">
        <v>3028</v>
      </c>
      <c r="C3549" s="5" t="s">
        <v>11</v>
      </c>
      <c r="D3549" s="5" t="s">
        <v>12</v>
      </c>
      <c r="E3549" s="5" t="s">
        <v>2622</v>
      </c>
    </row>
    <row r="3550" spans="1:5" x14ac:dyDescent="0.25">
      <c r="A3550" s="5">
        <f>3542</f>
      </c>
      <c r="B3550" s="5" t="s">
        <v>3028</v>
      </c>
      <c r="C3550" s="5" t="s">
        <v>11</v>
      </c>
      <c r="D3550" s="5" t="s">
        <v>12</v>
      </c>
      <c r="E3550" s="5" t="s">
        <v>2622</v>
      </c>
    </row>
    <row r="3551" spans="1:5" x14ac:dyDescent="0.25">
      <c r="A3551" s="5">
        <f>3543</f>
      </c>
      <c r="B3551" s="5" t="s">
        <v>3029</v>
      </c>
      <c r="C3551" s="5" t="s">
        <v>11</v>
      </c>
      <c r="D3551" s="5" t="s">
        <v>12</v>
      </c>
      <c r="E3551" s="5" t="s">
        <v>2622</v>
      </c>
    </row>
    <row r="3552" spans="1:5" x14ac:dyDescent="0.25">
      <c r="A3552" s="5">
        <f>3544</f>
      </c>
      <c r="B3552" s="5" t="s">
        <v>3029</v>
      </c>
      <c r="C3552" s="5" t="s">
        <v>11</v>
      </c>
      <c r="D3552" s="5" t="s">
        <v>12</v>
      </c>
      <c r="E3552" s="5" t="s">
        <v>2622</v>
      </c>
    </row>
    <row r="3553" spans="1:5" x14ac:dyDescent="0.25">
      <c r="A3553" s="5">
        <f>3545</f>
      </c>
      <c r="B3553" s="5" t="s">
        <v>3030</v>
      </c>
      <c r="C3553" s="5" t="s">
        <v>11</v>
      </c>
      <c r="D3553" s="5" t="s">
        <v>12</v>
      </c>
      <c r="E3553" s="5" t="s">
        <v>2622</v>
      </c>
    </row>
    <row r="3554" spans="1:5" x14ac:dyDescent="0.25">
      <c r="A3554" s="5">
        <f>3546</f>
      </c>
      <c r="B3554" s="5" t="s">
        <v>3030</v>
      </c>
      <c r="C3554" s="5" t="s">
        <v>11</v>
      </c>
      <c r="D3554" s="5" t="s">
        <v>12</v>
      </c>
      <c r="E3554" s="5" t="s">
        <v>2622</v>
      </c>
    </row>
    <row r="3555" spans="1:5" x14ac:dyDescent="0.25">
      <c r="A3555" s="5">
        <f>3547</f>
      </c>
      <c r="B3555" s="5" t="s">
        <v>3031</v>
      </c>
      <c r="C3555" s="5" t="s">
        <v>11</v>
      </c>
      <c r="D3555" s="5" t="s">
        <v>12</v>
      </c>
      <c r="E3555" s="5" t="s">
        <v>2622</v>
      </c>
    </row>
    <row r="3556" spans="1:5" x14ac:dyDescent="0.25">
      <c r="A3556" s="5">
        <f>3548</f>
      </c>
      <c r="B3556" s="5" t="s">
        <v>3031</v>
      </c>
      <c r="C3556" s="5" t="s">
        <v>11</v>
      </c>
      <c r="D3556" s="5" t="s">
        <v>12</v>
      </c>
      <c r="E3556" s="5" t="s">
        <v>2622</v>
      </c>
    </row>
    <row r="3557" spans="1:5" x14ac:dyDescent="0.25">
      <c r="A3557" s="5">
        <f>3549</f>
      </c>
      <c r="B3557" s="5" t="s">
        <v>3032</v>
      </c>
      <c r="C3557" s="5" t="s">
        <v>11</v>
      </c>
      <c r="D3557" s="5" t="s">
        <v>12</v>
      </c>
      <c r="E3557" s="5" t="s">
        <v>2622</v>
      </c>
    </row>
    <row r="3558" spans="1:5" x14ac:dyDescent="0.25">
      <c r="A3558" s="5">
        <f>3550</f>
      </c>
      <c r="B3558" s="5" t="s">
        <v>3032</v>
      </c>
      <c r="C3558" s="5" t="s">
        <v>11</v>
      </c>
      <c r="D3558" s="5" t="s">
        <v>12</v>
      </c>
      <c r="E3558" s="5" t="s">
        <v>2622</v>
      </c>
    </row>
    <row r="3559" spans="1:5" x14ac:dyDescent="0.25">
      <c r="A3559" s="5">
        <f>3551</f>
      </c>
      <c r="B3559" s="5" t="s">
        <v>3033</v>
      </c>
      <c r="C3559" s="5" t="s">
        <v>11</v>
      </c>
      <c r="D3559" s="5" t="s">
        <v>12</v>
      </c>
      <c r="E3559" s="5" t="s">
        <v>2622</v>
      </c>
    </row>
    <row r="3560" spans="1:5" x14ac:dyDescent="0.25">
      <c r="A3560" s="5">
        <f>3552</f>
      </c>
      <c r="B3560" s="5" t="s">
        <v>3033</v>
      </c>
      <c r="C3560" s="5" t="s">
        <v>11</v>
      </c>
      <c r="D3560" s="5" t="s">
        <v>12</v>
      </c>
      <c r="E3560" s="5" t="s">
        <v>2622</v>
      </c>
    </row>
    <row r="3561" spans="1:5" x14ac:dyDescent="0.25">
      <c r="A3561" s="5">
        <f>3553</f>
      </c>
      <c r="B3561" s="5" t="s">
        <v>3034</v>
      </c>
      <c r="C3561" s="5" t="s">
        <v>11</v>
      </c>
      <c r="D3561" s="5" t="s">
        <v>12</v>
      </c>
      <c r="E3561" s="5" t="s">
        <v>2622</v>
      </c>
    </row>
    <row r="3562" spans="1:5" x14ac:dyDescent="0.25">
      <c r="A3562" s="5">
        <f>3554</f>
      </c>
      <c r="B3562" s="5" t="s">
        <v>3034</v>
      </c>
      <c r="C3562" s="5" t="s">
        <v>11</v>
      </c>
      <c r="D3562" s="5" t="s">
        <v>12</v>
      </c>
      <c r="E3562" s="5" t="s">
        <v>2622</v>
      </c>
    </row>
    <row r="3563" spans="1:5" x14ac:dyDescent="0.25">
      <c r="A3563" s="5">
        <f>3555</f>
      </c>
      <c r="B3563" s="5" t="s">
        <v>3035</v>
      </c>
      <c r="C3563" s="5" t="s">
        <v>11</v>
      </c>
      <c r="D3563" s="5" t="s">
        <v>12</v>
      </c>
      <c r="E3563" s="5" t="s">
        <v>2622</v>
      </c>
    </row>
    <row r="3564" spans="1:5" x14ac:dyDescent="0.25">
      <c r="A3564" s="5">
        <f>3556</f>
      </c>
      <c r="B3564" s="5" t="s">
        <v>3035</v>
      </c>
      <c r="C3564" s="5" t="s">
        <v>11</v>
      </c>
      <c r="D3564" s="5" t="s">
        <v>12</v>
      </c>
      <c r="E3564" s="5" t="s">
        <v>2622</v>
      </c>
    </row>
    <row r="3565" spans="1:5" x14ac:dyDescent="0.25">
      <c r="A3565" s="5">
        <f>3557</f>
      </c>
      <c r="B3565" s="5" t="s">
        <v>3036</v>
      </c>
      <c r="C3565" s="5" t="s">
        <v>11</v>
      </c>
      <c r="D3565" s="5" t="s">
        <v>12</v>
      </c>
      <c r="E3565" s="5" t="s">
        <v>2622</v>
      </c>
    </row>
    <row r="3566" spans="1:5" x14ac:dyDescent="0.25">
      <c r="A3566" s="5">
        <f>3558</f>
      </c>
      <c r="B3566" s="5" t="s">
        <v>3036</v>
      </c>
      <c r="C3566" s="5" t="s">
        <v>11</v>
      </c>
      <c r="D3566" s="5" t="s">
        <v>12</v>
      </c>
      <c r="E3566" s="5" t="s">
        <v>2622</v>
      </c>
    </row>
    <row r="3567" spans="1:5" x14ac:dyDescent="0.25">
      <c r="A3567" s="5">
        <f>3559</f>
      </c>
      <c r="B3567" s="5" t="s">
        <v>3037</v>
      </c>
      <c r="C3567" s="5" t="s">
        <v>11</v>
      </c>
      <c r="D3567" s="5" t="s">
        <v>12</v>
      </c>
      <c r="E3567" s="5" t="s">
        <v>2622</v>
      </c>
    </row>
    <row r="3568" spans="1:5" x14ac:dyDescent="0.25">
      <c r="A3568" s="5">
        <f>3560</f>
      </c>
      <c r="B3568" s="5" t="s">
        <v>3037</v>
      </c>
      <c r="C3568" s="5" t="s">
        <v>11</v>
      </c>
      <c r="D3568" s="5" t="s">
        <v>12</v>
      </c>
      <c r="E3568" s="5" t="s">
        <v>2622</v>
      </c>
    </row>
    <row r="3569" spans="1:5" x14ac:dyDescent="0.25">
      <c r="A3569" s="5">
        <f>3561</f>
      </c>
      <c r="B3569" s="5" t="s">
        <v>3038</v>
      </c>
      <c r="C3569" s="5" t="s">
        <v>11</v>
      </c>
      <c r="D3569" s="5" t="s">
        <v>12</v>
      </c>
      <c r="E3569" s="5" t="s">
        <v>2622</v>
      </c>
    </row>
    <row r="3570" spans="1:5" x14ac:dyDescent="0.25">
      <c r="A3570" s="5">
        <f>3562</f>
      </c>
      <c r="B3570" s="5" t="s">
        <v>3038</v>
      </c>
      <c r="C3570" s="5" t="s">
        <v>11</v>
      </c>
      <c r="D3570" s="5" t="s">
        <v>12</v>
      </c>
      <c r="E3570" s="5" t="s">
        <v>2622</v>
      </c>
    </row>
    <row r="3571" spans="1:5" x14ac:dyDescent="0.25">
      <c r="A3571" s="5">
        <f>3563</f>
      </c>
      <c r="B3571" s="5" t="s">
        <v>3039</v>
      </c>
      <c r="C3571" s="5" t="s">
        <v>11</v>
      </c>
      <c r="D3571" s="5" t="s">
        <v>12</v>
      </c>
      <c r="E3571" s="5" t="s">
        <v>2622</v>
      </c>
    </row>
    <row r="3572" spans="1:5" x14ac:dyDescent="0.25">
      <c r="A3572" s="5">
        <f>3564</f>
      </c>
      <c r="B3572" s="5" t="s">
        <v>3039</v>
      </c>
      <c r="C3572" s="5" t="s">
        <v>11</v>
      </c>
      <c r="D3572" s="5" t="s">
        <v>12</v>
      </c>
      <c r="E3572" s="5" t="s">
        <v>2622</v>
      </c>
    </row>
    <row r="3573" spans="1:5" x14ac:dyDescent="0.25">
      <c r="A3573" s="5">
        <f>3565</f>
      </c>
      <c r="B3573" s="5" t="s">
        <v>3040</v>
      </c>
      <c r="C3573" s="5" t="s">
        <v>11</v>
      </c>
      <c r="D3573" s="5" t="s">
        <v>12</v>
      </c>
      <c r="E3573" s="5" t="s">
        <v>2622</v>
      </c>
    </row>
    <row r="3574" spans="1:5" x14ac:dyDescent="0.25">
      <c r="A3574" s="5">
        <f>3566</f>
      </c>
      <c r="B3574" s="5" t="s">
        <v>3040</v>
      </c>
      <c r="C3574" s="5" t="s">
        <v>11</v>
      </c>
      <c r="D3574" s="5" t="s">
        <v>12</v>
      </c>
      <c r="E3574" s="5" t="s">
        <v>2622</v>
      </c>
    </row>
    <row r="3575" spans="1:5" x14ac:dyDescent="0.25">
      <c r="A3575" s="5">
        <f>3567</f>
      </c>
      <c r="B3575" s="5" t="s">
        <v>3041</v>
      </c>
      <c r="C3575" s="5" t="s">
        <v>11</v>
      </c>
      <c r="D3575" s="5" t="s">
        <v>12</v>
      </c>
      <c r="E3575" s="5" t="s">
        <v>2622</v>
      </c>
    </row>
    <row r="3576" spans="1:5" x14ac:dyDescent="0.25">
      <c r="A3576" s="5">
        <f>3568</f>
      </c>
      <c r="B3576" s="5" t="s">
        <v>3041</v>
      </c>
      <c r="C3576" s="5" t="s">
        <v>11</v>
      </c>
      <c r="D3576" s="5" t="s">
        <v>12</v>
      </c>
      <c r="E3576" s="5" t="s">
        <v>2622</v>
      </c>
    </row>
    <row r="3577" spans="1:5" x14ac:dyDescent="0.25">
      <c r="A3577" s="5">
        <f>3569</f>
      </c>
      <c r="B3577" s="5" t="s">
        <v>3042</v>
      </c>
      <c r="C3577" s="5" t="s">
        <v>11</v>
      </c>
      <c r="D3577" s="5" t="s">
        <v>12</v>
      </c>
      <c r="E3577" s="5" t="s">
        <v>2622</v>
      </c>
    </row>
    <row r="3578" spans="1:5" x14ac:dyDescent="0.25">
      <c r="A3578" s="5">
        <f>3570</f>
      </c>
      <c r="B3578" s="5" t="s">
        <v>3042</v>
      </c>
      <c r="C3578" s="5" t="s">
        <v>11</v>
      </c>
      <c r="D3578" s="5" t="s">
        <v>12</v>
      </c>
      <c r="E3578" s="5" t="s">
        <v>2622</v>
      </c>
    </row>
    <row r="3579" spans="1:5" x14ac:dyDescent="0.25">
      <c r="A3579" s="5">
        <f>3571</f>
      </c>
      <c r="B3579" s="5" t="s">
        <v>3043</v>
      </c>
      <c r="C3579" s="5" t="s">
        <v>11</v>
      </c>
      <c r="D3579" s="5" t="s">
        <v>12</v>
      </c>
      <c r="E3579" s="5" t="s">
        <v>2622</v>
      </c>
    </row>
    <row r="3580" spans="1:5" x14ac:dyDescent="0.25">
      <c r="A3580" s="5">
        <f>3572</f>
      </c>
      <c r="B3580" s="5" t="s">
        <v>3043</v>
      </c>
      <c r="C3580" s="5" t="s">
        <v>11</v>
      </c>
      <c r="D3580" s="5" t="s">
        <v>12</v>
      </c>
      <c r="E3580" s="5" t="s">
        <v>2622</v>
      </c>
    </row>
    <row r="3581" spans="1:5" x14ac:dyDescent="0.25">
      <c r="A3581" s="5">
        <f>3573</f>
      </c>
      <c r="B3581" s="5" t="s">
        <v>3044</v>
      </c>
      <c r="C3581" s="5" t="s">
        <v>11</v>
      </c>
      <c r="D3581" s="5" t="s">
        <v>12</v>
      </c>
      <c r="E3581" s="5" t="s">
        <v>2622</v>
      </c>
    </row>
    <row r="3582" spans="1:5" x14ac:dyDescent="0.25">
      <c r="A3582" s="5">
        <f>3574</f>
      </c>
      <c r="B3582" s="5" t="s">
        <v>3044</v>
      </c>
      <c r="C3582" s="5" t="s">
        <v>11</v>
      </c>
      <c r="D3582" s="5" t="s">
        <v>12</v>
      </c>
      <c r="E3582" s="5" t="s">
        <v>2622</v>
      </c>
    </row>
    <row r="3583" spans="1:5" x14ac:dyDescent="0.25">
      <c r="A3583" s="5">
        <f>3575</f>
      </c>
      <c r="B3583" s="5" t="s">
        <v>3045</v>
      </c>
      <c r="C3583" s="5" t="s">
        <v>11</v>
      </c>
      <c r="D3583" s="5" t="s">
        <v>12</v>
      </c>
      <c r="E3583" s="5" t="s">
        <v>2622</v>
      </c>
    </row>
    <row r="3584" spans="1:5" x14ac:dyDescent="0.25">
      <c r="A3584" s="5">
        <f>3576</f>
      </c>
      <c r="B3584" s="5" t="s">
        <v>3045</v>
      </c>
      <c r="C3584" s="5" t="s">
        <v>11</v>
      </c>
      <c r="D3584" s="5" t="s">
        <v>12</v>
      </c>
      <c r="E3584" s="5" t="s">
        <v>2622</v>
      </c>
    </row>
    <row r="3585" spans="1:5" x14ac:dyDescent="0.25">
      <c r="A3585" s="5">
        <f>3577</f>
      </c>
      <c r="B3585" s="5" t="s">
        <v>3046</v>
      </c>
      <c r="C3585" s="5" t="s">
        <v>11</v>
      </c>
      <c r="D3585" s="5" t="s">
        <v>12</v>
      </c>
      <c r="E3585" s="5" t="s">
        <v>2622</v>
      </c>
    </row>
    <row r="3586" spans="1:5" x14ac:dyDescent="0.25">
      <c r="A3586" s="5">
        <f>3578</f>
      </c>
      <c r="B3586" s="5" t="s">
        <v>3046</v>
      </c>
      <c r="C3586" s="5" t="s">
        <v>11</v>
      </c>
      <c r="D3586" s="5" t="s">
        <v>12</v>
      </c>
      <c r="E3586" s="5" t="s">
        <v>2622</v>
      </c>
    </row>
    <row r="3587" spans="1:5" x14ac:dyDescent="0.25">
      <c r="A3587" s="5">
        <f>3579</f>
      </c>
      <c r="B3587" s="5" t="s">
        <v>3047</v>
      </c>
      <c r="C3587" s="5" t="s">
        <v>11</v>
      </c>
      <c r="D3587" s="5" t="s">
        <v>12</v>
      </c>
      <c r="E3587" s="5" t="s">
        <v>2622</v>
      </c>
    </row>
    <row r="3588" spans="1:5" x14ac:dyDescent="0.25">
      <c r="A3588" s="5">
        <f>3580</f>
      </c>
      <c r="B3588" s="5" t="s">
        <v>3047</v>
      </c>
      <c r="C3588" s="5" t="s">
        <v>11</v>
      </c>
      <c r="D3588" s="5" t="s">
        <v>12</v>
      </c>
      <c r="E3588" s="5" t="s">
        <v>2622</v>
      </c>
    </row>
    <row r="3589" spans="1:5" x14ac:dyDescent="0.25">
      <c r="A3589" s="5">
        <f>3581</f>
      </c>
      <c r="B3589" s="5" t="s">
        <v>3048</v>
      </c>
      <c r="C3589" s="5" t="s">
        <v>11</v>
      </c>
      <c r="D3589" s="5" t="s">
        <v>12</v>
      </c>
      <c r="E3589" s="5" t="s">
        <v>2622</v>
      </c>
    </row>
    <row r="3590" spans="1:5" x14ac:dyDescent="0.25">
      <c r="A3590" s="5">
        <f>3582</f>
      </c>
      <c r="B3590" s="5" t="s">
        <v>3048</v>
      </c>
      <c r="C3590" s="5" t="s">
        <v>11</v>
      </c>
      <c r="D3590" s="5" t="s">
        <v>12</v>
      </c>
      <c r="E3590" s="5" t="s">
        <v>2622</v>
      </c>
    </row>
    <row r="3591" spans="1:5" x14ac:dyDescent="0.25">
      <c r="A3591" s="5">
        <f>3583</f>
      </c>
      <c r="B3591" s="5" t="s">
        <v>3049</v>
      </c>
      <c r="C3591" s="5" t="s">
        <v>11</v>
      </c>
      <c r="D3591" s="5" t="s">
        <v>12</v>
      </c>
      <c r="E3591" s="5" t="s">
        <v>2622</v>
      </c>
    </row>
    <row r="3592" spans="1:5" x14ac:dyDescent="0.25">
      <c r="A3592" s="5">
        <f>3584</f>
      </c>
      <c r="B3592" s="5" t="s">
        <v>3049</v>
      </c>
      <c r="C3592" s="5" t="s">
        <v>11</v>
      </c>
      <c r="D3592" s="5" t="s">
        <v>12</v>
      </c>
      <c r="E3592" s="5" t="s">
        <v>2622</v>
      </c>
    </row>
    <row r="3593" spans="1:5" x14ac:dyDescent="0.25">
      <c r="A3593" s="5">
        <f>3585</f>
      </c>
      <c r="B3593" s="5" t="s">
        <v>3050</v>
      </c>
      <c r="C3593" s="5" t="s">
        <v>11</v>
      </c>
      <c r="D3593" s="5" t="s">
        <v>12</v>
      </c>
      <c r="E3593" s="5" t="s">
        <v>2622</v>
      </c>
    </row>
    <row r="3594" spans="1:5" x14ac:dyDescent="0.25">
      <c r="A3594" s="5">
        <f>3586</f>
      </c>
      <c r="B3594" s="5" t="s">
        <v>3050</v>
      </c>
      <c r="C3594" s="5" t="s">
        <v>11</v>
      </c>
      <c r="D3594" s="5" t="s">
        <v>12</v>
      </c>
      <c r="E3594" s="5" t="s">
        <v>2622</v>
      </c>
    </row>
    <row r="3595" spans="1:5" x14ac:dyDescent="0.25">
      <c r="A3595" s="5">
        <f>3587</f>
      </c>
      <c r="B3595" s="5" t="s">
        <v>3051</v>
      </c>
      <c r="C3595" s="5" t="s">
        <v>11</v>
      </c>
      <c r="D3595" s="5" t="s">
        <v>12</v>
      </c>
      <c r="E3595" s="5" t="s">
        <v>2622</v>
      </c>
    </row>
    <row r="3596" spans="1:5" x14ac:dyDescent="0.25">
      <c r="A3596" s="5">
        <f>3588</f>
      </c>
      <c r="B3596" s="5" t="s">
        <v>3051</v>
      </c>
      <c r="C3596" s="5" t="s">
        <v>11</v>
      </c>
      <c r="D3596" s="5" t="s">
        <v>12</v>
      </c>
      <c r="E3596" s="5" t="s">
        <v>2622</v>
      </c>
    </row>
    <row r="3597" spans="1:5" x14ac:dyDescent="0.25">
      <c r="A3597" s="5">
        <f>3589</f>
      </c>
      <c r="B3597" s="5" t="s">
        <v>3052</v>
      </c>
      <c r="C3597" s="5" t="s">
        <v>11</v>
      </c>
      <c r="D3597" s="5" t="s">
        <v>12</v>
      </c>
      <c r="E3597" s="5" t="s">
        <v>2622</v>
      </c>
    </row>
    <row r="3598" spans="1:5" x14ac:dyDescent="0.25">
      <c r="A3598" s="5">
        <f>3590</f>
      </c>
      <c r="B3598" s="5" t="s">
        <v>3052</v>
      </c>
      <c r="C3598" s="5" t="s">
        <v>11</v>
      </c>
      <c r="D3598" s="5" t="s">
        <v>12</v>
      </c>
      <c r="E3598" s="5" t="s">
        <v>2622</v>
      </c>
    </row>
    <row r="3599" spans="1:5" x14ac:dyDescent="0.25">
      <c r="A3599" s="5">
        <f>3591</f>
      </c>
      <c r="B3599" s="5" t="s">
        <v>3053</v>
      </c>
      <c r="C3599" s="5" t="s">
        <v>11</v>
      </c>
      <c r="D3599" s="5" t="s">
        <v>12</v>
      </c>
      <c r="E3599" s="5" t="s">
        <v>2622</v>
      </c>
    </row>
    <row r="3600" spans="1:5" x14ac:dyDescent="0.25">
      <c r="A3600" s="5">
        <f>3592</f>
      </c>
      <c r="B3600" s="5" t="s">
        <v>3053</v>
      </c>
      <c r="C3600" s="5" t="s">
        <v>11</v>
      </c>
      <c r="D3600" s="5" t="s">
        <v>12</v>
      </c>
      <c r="E3600" s="5" t="s">
        <v>2622</v>
      </c>
    </row>
    <row r="3601" spans="1:5" x14ac:dyDescent="0.25">
      <c r="A3601" s="5">
        <f>3593</f>
      </c>
      <c r="B3601" s="5" t="s">
        <v>3054</v>
      </c>
      <c r="C3601" s="5" t="s">
        <v>11</v>
      </c>
      <c r="D3601" s="5" t="s">
        <v>12</v>
      </c>
      <c r="E3601" s="5" t="s">
        <v>2622</v>
      </c>
    </row>
    <row r="3602" spans="1:5" x14ac:dyDescent="0.25">
      <c r="A3602" s="5">
        <f>3594</f>
      </c>
      <c r="B3602" s="5" t="s">
        <v>3054</v>
      </c>
      <c r="C3602" s="5" t="s">
        <v>11</v>
      </c>
      <c r="D3602" s="5" t="s">
        <v>12</v>
      </c>
      <c r="E3602" s="5" t="s">
        <v>2622</v>
      </c>
    </row>
    <row r="3603" spans="1:5" x14ac:dyDescent="0.25">
      <c r="A3603" s="5">
        <f>3595</f>
      </c>
      <c r="B3603" s="5" t="s">
        <v>3055</v>
      </c>
      <c r="C3603" s="5" t="s">
        <v>11</v>
      </c>
      <c r="D3603" s="5" t="s">
        <v>12</v>
      </c>
      <c r="E3603" s="5" t="s">
        <v>2622</v>
      </c>
    </row>
    <row r="3604" spans="1:5" x14ac:dyDescent="0.25">
      <c r="A3604" s="5">
        <f>3596</f>
      </c>
      <c r="B3604" s="5" t="s">
        <v>3055</v>
      </c>
      <c r="C3604" s="5" t="s">
        <v>11</v>
      </c>
      <c r="D3604" s="5" t="s">
        <v>12</v>
      </c>
      <c r="E3604" s="5" t="s">
        <v>2622</v>
      </c>
    </row>
    <row r="3605" spans="1:5" x14ac:dyDescent="0.25">
      <c r="A3605" s="5">
        <f>3597</f>
      </c>
      <c r="B3605" s="5" t="s">
        <v>3056</v>
      </c>
      <c r="C3605" s="5" t="s">
        <v>11</v>
      </c>
      <c r="D3605" s="5" t="s">
        <v>12</v>
      </c>
      <c r="E3605" s="5" t="s">
        <v>2622</v>
      </c>
    </row>
    <row r="3606" spans="1:5" x14ac:dyDescent="0.25">
      <c r="A3606" s="5">
        <f>3598</f>
      </c>
      <c r="B3606" s="5" t="s">
        <v>3056</v>
      </c>
      <c r="C3606" s="5" t="s">
        <v>11</v>
      </c>
      <c r="D3606" s="5" t="s">
        <v>12</v>
      </c>
      <c r="E3606" s="5" t="s">
        <v>2622</v>
      </c>
    </row>
    <row r="3607" spans="1:5" x14ac:dyDescent="0.25">
      <c r="A3607" s="5">
        <f>3599</f>
      </c>
      <c r="B3607" s="5" t="s">
        <v>3057</v>
      </c>
      <c r="C3607" s="5" t="s">
        <v>11</v>
      </c>
      <c r="D3607" s="5" t="s">
        <v>12</v>
      </c>
      <c r="E3607" s="5" t="s">
        <v>2622</v>
      </c>
    </row>
    <row r="3608" spans="1:5" x14ac:dyDescent="0.25">
      <c r="A3608" s="5">
        <f>3600</f>
      </c>
      <c r="B3608" s="5" t="s">
        <v>3057</v>
      </c>
      <c r="C3608" s="5" t="s">
        <v>11</v>
      </c>
      <c r="D3608" s="5" t="s">
        <v>12</v>
      </c>
      <c r="E3608" s="5" t="s">
        <v>2622</v>
      </c>
    </row>
    <row r="3609" spans="1:5" x14ac:dyDescent="0.25">
      <c r="A3609" s="5">
        <f>3601</f>
      </c>
      <c r="B3609" s="5" t="s">
        <v>3058</v>
      </c>
      <c r="C3609" s="5" t="s">
        <v>11</v>
      </c>
      <c r="D3609" s="5" t="s">
        <v>12</v>
      </c>
      <c r="E3609" s="5" t="s">
        <v>2622</v>
      </c>
    </row>
    <row r="3610" spans="1:5" x14ac:dyDescent="0.25">
      <c r="A3610" s="5">
        <f>3602</f>
      </c>
      <c r="B3610" s="5" t="s">
        <v>3058</v>
      </c>
      <c r="C3610" s="5" t="s">
        <v>11</v>
      </c>
      <c r="D3610" s="5" t="s">
        <v>12</v>
      </c>
      <c r="E3610" s="5" t="s">
        <v>2622</v>
      </c>
    </row>
    <row r="3611" spans="1:5" x14ac:dyDescent="0.25">
      <c r="A3611" s="5">
        <f>3603</f>
      </c>
      <c r="B3611" s="5" t="s">
        <v>3059</v>
      </c>
      <c r="C3611" s="5" t="s">
        <v>11</v>
      </c>
      <c r="D3611" s="5" t="s">
        <v>12</v>
      </c>
      <c r="E3611" s="5" t="s">
        <v>2622</v>
      </c>
    </row>
    <row r="3612" spans="1:5" x14ac:dyDescent="0.25">
      <c r="A3612" s="5">
        <f>3604</f>
      </c>
      <c r="B3612" s="5" t="s">
        <v>3059</v>
      </c>
      <c r="C3612" s="5" t="s">
        <v>11</v>
      </c>
      <c r="D3612" s="5" t="s">
        <v>12</v>
      </c>
      <c r="E3612" s="5" t="s">
        <v>2622</v>
      </c>
    </row>
    <row r="3613" spans="1:5" x14ac:dyDescent="0.25">
      <c r="A3613" s="5">
        <f>3605</f>
      </c>
      <c r="B3613" s="5" t="s">
        <v>3060</v>
      </c>
      <c r="C3613" s="5" t="s">
        <v>11</v>
      </c>
      <c r="D3613" s="5" t="s">
        <v>12</v>
      </c>
      <c r="E3613" s="5" t="s">
        <v>2622</v>
      </c>
    </row>
    <row r="3614" spans="1:5" x14ac:dyDescent="0.25">
      <c r="A3614" s="5">
        <f>3606</f>
      </c>
      <c r="B3614" s="5" t="s">
        <v>3060</v>
      </c>
      <c r="C3614" s="5" t="s">
        <v>11</v>
      </c>
      <c r="D3614" s="5" t="s">
        <v>12</v>
      </c>
      <c r="E3614" s="5" t="s">
        <v>2622</v>
      </c>
    </row>
    <row r="3615" spans="1:5" x14ac:dyDescent="0.25">
      <c r="A3615" s="5">
        <f>3607</f>
      </c>
      <c r="B3615" s="5" t="s">
        <v>3061</v>
      </c>
      <c r="C3615" s="5" t="s">
        <v>11</v>
      </c>
      <c r="D3615" s="5" t="s">
        <v>12</v>
      </c>
      <c r="E3615" s="5" t="s">
        <v>2622</v>
      </c>
    </row>
    <row r="3616" spans="1:5" x14ac:dyDescent="0.25">
      <c r="A3616" s="5">
        <f>3608</f>
      </c>
      <c r="B3616" s="5" t="s">
        <v>3061</v>
      </c>
      <c r="C3616" s="5" t="s">
        <v>11</v>
      </c>
      <c r="D3616" s="5" t="s">
        <v>12</v>
      </c>
      <c r="E3616" s="5" t="s">
        <v>2622</v>
      </c>
    </row>
    <row r="3617" spans="1:5" x14ac:dyDescent="0.25">
      <c r="A3617" s="5">
        <f>3609</f>
      </c>
      <c r="B3617" s="5" t="s">
        <v>3062</v>
      </c>
      <c r="C3617" s="5" t="s">
        <v>11</v>
      </c>
      <c r="D3617" s="5" t="s">
        <v>12</v>
      </c>
      <c r="E3617" s="5" t="s">
        <v>2622</v>
      </c>
    </row>
    <row r="3618" spans="1:5" x14ac:dyDescent="0.25">
      <c r="A3618" s="5">
        <f>3610</f>
      </c>
      <c r="B3618" s="5" t="s">
        <v>3062</v>
      </c>
      <c r="C3618" s="5" t="s">
        <v>11</v>
      </c>
      <c r="D3618" s="5" t="s">
        <v>12</v>
      </c>
      <c r="E3618" s="5" t="s">
        <v>2622</v>
      </c>
    </row>
    <row r="3619" spans="1:5" x14ac:dyDescent="0.25">
      <c r="A3619" s="5">
        <f>3611</f>
      </c>
      <c r="B3619" s="5" t="s">
        <v>3063</v>
      </c>
      <c r="C3619" s="5" t="s">
        <v>11</v>
      </c>
      <c r="D3619" s="5" t="s">
        <v>12</v>
      </c>
      <c r="E3619" s="5" t="s">
        <v>2622</v>
      </c>
    </row>
    <row r="3620" spans="1:5" x14ac:dyDescent="0.25">
      <c r="A3620" s="5">
        <f>3612</f>
      </c>
      <c r="B3620" s="5" t="s">
        <v>3063</v>
      </c>
      <c r="C3620" s="5" t="s">
        <v>11</v>
      </c>
      <c r="D3620" s="5" t="s">
        <v>12</v>
      </c>
      <c r="E3620" s="5" t="s">
        <v>2622</v>
      </c>
    </row>
    <row r="3621" spans="1:5" x14ac:dyDescent="0.25">
      <c r="A3621" s="5">
        <f>3613</f>
      </c>
      <c r="B3621" s="5" t="s">
        <v>3064</v>
      </c>
      <c r="C3621" s="5" t="s">
        <v>11</v>
      </c>
      <c r="D3621" s="5" t="s">
        <v>12</v>
      </c>
      <c r="E3621" s="5" t="s">
        <v>2622</v>
      </c>
    </row>
    <row r="3622" spans="1:5" x14ac:dyDescent="0.25">
      <c r="A3622" s="5">
        <f>3614</f>
      </c>
      <c r="B3622" s="5" t="s">
        <v>3064</v>
      </c>
      <c r="C3622" s="5" t="s">
        <v>11</v>
      </c>
      <c r="D3622" s="5" t="s">
        <v>12</v>
      </c>
      <c r="E3622" s="5" t="s">
        <v>2622</v>
      </c>
    </row>
    <row r="3623" spans="1:5" x14ac:dyDescent="0.25">
      <c r="A3623" s="5">
        <f>3615</f>
      </c>
      <c r="B3623" s="5" t="s">
        <v>3065</v>
      </c>
      <c r="C3623" s="5" t="s">
        <v>11</v>
      </c>
      <c r="D3623" s="5" t="s">
        <v>12</v>
      </c>
      <c r="E3623" s="5" t="s">
        <v>2622</v>
      </c>
    </row>
    <row r="3624" spans="1:5" x14ac:dyDescent="0.25">
      <c r="A3624" s="5">
        <f>3616</f>
      </c>
      <c r="B3624" s="5" t="s">
        <v>3065</v>
      </c>
      <c r="C3624" s="5" t="s">
        <v>11</v>
      </c>
      <c r="D3624" s="5" t="s">
        <v>12</v>
      </c>
      <c r="E3624" s="5" t="s">
        <v>2622</v>
      </c>
    </row>
    <row r="3625" spans="1:5" x14ac:dyDescent="0.25">
      <c r="A3625" s="5">
        <f>3617</f>
      </c>
      <c r="B3625" s="5" t="s">
        <v>3066</v>
      </c>
      <c r="C3625" s="5" t="s">
        <v>11</v>
      </c>
      <c r="D3625" s="5" t="s">
        <v>12</v>
      </c>
      <c r="E3625" s="5" t="s">
        <v>2622</v>
      </c>
    </row>
    <row r="3626" spans="1:5" x14ac:dyDescent="0.25">
      <c r="A3626" s="5">
        <f>3618</f>
      </c>
      <c r="B3626" s="5" t="s">
        <v>3066</v>
      </c>
      <c r="C3626" s="5" t="s">
        <v>11</v>
      </c>
      <c r="D3626" s="5" t="s">
        <v>12</v>
      </c>
      <c r="E3626" s="5" t="s">
        <v>2622</v>
      </c>
    </row>
    <row r="3627" spans="1:5" x14ac:dyDescent="0.25">
      <c r="A3627" s="5">
        <f>3619</f>
      </c>
      <c r="B3627" s="5" t="s">
        <v>3067</v>
      </c>
      <c r="C3627" s="5" t="s">
        <v>11</v>
      </c>
      <c r="D3627" s="5" t="s">
        <v>12</v>
      </c>
      <c r="E3627" s="5" t="s">
        <v>2622</v>
      </c>
    </row>
    <row r="3628" spans="1:5" x14ac:dyDescent="0.25">
      <c r="A3628" s="5">
        <f>3620</f>
      </c>
      <c r="B3628" s="5" t="s">
        <v>3067</v>
      </c>
      <c r="C3628" s="5" t="s">
        <v>11</v>
      </c>
      <c r="D3628" s="5" t="s">
        <v>12</v>
      </c>
      <c r="E3628" s="5" t="s">
        <v>2622</v>
      </c>
    </row>
    <row r="3629" spans="1:5" x14ac:dyDescent="0.25">
      <c r="A3629" s="5">
        <f>3621</f>
      </c>
      <c r="B3629" s="5" t="s">
        <v>3068</v>
      </c>
      <c r="C3629" s="5" t="s">
        <v>11</v>
      </c>
      <c r="D3629" s="5" t="s">
        <v>12</v>
      </c>
      <c r="E3629" s="5" t="s">
        <v>2622</v>
      </c>
    </row>
    <row r="3630" spans="1:5" x14ac:dyDescent="0.25">
      <c r="A3630" s="5">
        <f>3622</f>
      </c>
      <c r="B3630" s="5" t="s">
        <v>3068</v>
      </c>
      <c r="C3630" s="5" t="s">
        <v>11</v>
      </c>
      <c r="D3630" s="5" t="s">
        <v>12</v>
      </c>
      <c r="E3630" s="5" t="s">
        <v>2622</v>
      </c>
    </row>
    <row r="3631" spans="1:5" x14ac:dyDescent="0.25">
      <c r="A3631" s="5">
        <f>3623</f>
      </c>
      <c r="B3631" s="5" t="s">
        <v>3069</v>
      </c>
      <c r="C3631" s="5" t="s">
        <v>11</v>
      </c>
      <c r="D3631" s="5" t="s">
        <v>12</v>
      </c>
      <c r="E3631" s="5" t="s">
        <v>2622</v>
      </c>
    </row>
    <row r="3632" spans="1:5" x14ac:dyDescent="0.25">
      <c r="A3632" s="5">
        <f>3624</f>
      </c>
      <c r="B3632" s="5" t="s">
        <v>3069</v>
      </c>
      <c r="C3632" s="5" t="s">
        <v>11</v>
      </c>
      <c r="D3632" s="5" t="s">
        <v>12</v>
      </c>
      <c r="E3632" s="5" t="s">
        <v>2622</v>
      </c>
    </row>
    <row r="3633" spans="1:5" x14ac:dyDescent="0.25">
      <c r="A3633" s="5">
        <f>3625</f>
      </c>
      <c r="B3633" s="5" t="s">
        <v>3070</v>
      </c>
      <c r="C3633" s="5" t="s">
        <v>11</v>
      </c>
      <c r="D3633" s="5" t="s">
        <v>12</v>
      </c>
      <c r="E3633" s="5" t="s">
        <v>2622</v>
      </c>
    </row>
    <row r="3634" spans="1:5" x14ac:dyDescent="0.25">
      <c r="A3634" s="5">
        <f>3626</f>
      </c>
      <c r="B3634" s="5" t="s">
        <v>3070</v>
      </c>
      <c r="C3634" s="5" t="s">
        <v>11</v>
      </c>
      <c r="D3634" s="5" t="s">
        <v>12</v>
      </c>
      <c r="E3634" s="5" t="s">
        <v>2622</v>
      </c>
    </row>
    <row r="3635" spans="1:5" x14ac:dyDescent="0.25">
      <c r="A3635" s="5">
        <f>3627</f>
      </c>
      <c r="B3635" s="5" t="s">
        <v>3071</v>
      </c>
      <c r="C3635" s="5" t="s">
        <v>11</v>
      </c>
      <c r="D3635" s="5" t="s">
        <v>12</v>
      </c>
      <c r="E3635" s="5" t="s">
        <v>2622</v>
      </c>
    </row>
    <row r="3636" spans="1:5" x14ac:dyDescent="0.25">
      <c r="A3636" s="5">
        <f>3628</f>
      </c>
      <c r="B3636" s="5" t="s">
        <v>3071</v>
      </c>
      <c r="C3636" s="5" t="s">
        <v>11</v>
      </c>
      <c r="D3636" s="5" t="s">
        <v>12</v>
      </c>
      <c r="E3636" s="5" t="s">
        <v>2622</v>
      </c>
    </row>
    <row r="3637" spans="1:5" x14ac:dyDescent="0.25">
      <c r="A3637" s="5">
        <f>3629</f>
      </c>
      <c r="B3637" s="5" t="s">
        <v>3072</v>
      </c>
      <c r="C3637" s="5" t="s">
        <v>11</v>
      </c>
      <c r="D3637" s="5" t="s">
        <v>12</v>
      </c>
      <c r="E3637" s="5" t="s">
        <v>2622</v>
      </c>
    </row>
    <row r="3638" spans="1:5" x14ac:dyDescent="0.25">
      <c r="A3638" s="5">
        <f>3630</f>
      </c>
      <c r="B3638" s="5" t="s">
        <v>3072</v>
      </c>
      <c r="C3638" s="5" t="s">
        <v>11</v>
      </c>
      <c r="D3638" s="5" t="s">
        <v>12</v>
      </c>
      <c r="E3638" s="5" t="s">
        <v>2622</v>
      </c>
    </row>
    <row r="3639" spans="1:5" x14ac:dyDescent="0.25">
      <c r="A3639" s="5">
        <f>3631</f>
      </c>
      <c r="B3639" s="5" t="s">
        <v>3073</v>
      </c>
      <c r="C3639" s="5" t="s">
        <v>11</v>
      </c>
      <c r="D3639" s="5" t="s">
        <v>12</v>
      </c>
      <c r="E3639" s="5" t="s">
        <v>2622</v>
      </c>
    </row>
    <row r="3640" spans="1:5" x14ac:dyDescent="0.25">
      <c r="A3640" s="5">
        <f>3632</f>
      </c>
      <c r="B3640" s="5" t="s">
        <v>3073</v>
      </c>
      <c r="C3640" s="5" t="s">
        <v>11</v>
      </c>
      <c r="D3640" s="5" t="s">
        <v>12</v>
      </c>
      <c r="E3640" s="5" t="s">
        <v>2622</v>
      </c>
    </row>
    <row r="3641" spans="1:5" x14ac:dyDescent="0.25">
      <c r="A3641" s="5">
        <f>3633</f>
      </c>
      <c r="B3641" s="5" t="s">
        <v>3074</v>
      </c>
      <c r="C3641" s="5" t="s">
        <v>11</v>
      </c>
      <c r="D3641" s="5" t="s">
        <v>12</v>
      </c>
      <c r="E3641" s="5" t="s">
        <v>2622</v>
      </c>
    </row>
    <row r="3642" spans="1:5" x14ac:dyDescent="0.25">
      <c r="A3642" s="5">
        <f>3634</f>
      </c>
      <c r="B3642" s="5" t="s">
        <v>3074</v>
      </c>
      <c r="C3642" s="5" t="s">
        <v>11</v>
      </c>
      <c r="D3642" s="5" t="s">
        <v>12</v>
      </c>
      <c r="E3642" s="5" t="s">
        <v>2622</v>
      </c>
    </row>
    <row r="3643" spans="1:5" x14ac:dyDescent="0.25">
      <c r="A3643" s="5">
        <f>3635</f>
      </c>
      <c r="B3643" s="5" t="s">
        <v>3075</v>
      </c>
      <c r="C3643" s="5" t="s">
        <v>11</v>
      </c>
      <c r="D3643" s="5" t="s">
        <v>12</v>
      </c>
      <c r="E3643" s="5" t="s">
        <v>2622</v>
      </c>
    </row>
    <row r="3644" spans="1:5" x14ac:dyDescent="0.25">
      <c r="A3644" s="5">
        <f>3636</f>
      </c>
      <c r="B3644" s="5" t="s">
        <v>3075</v>
      </c>
      <c r="C3644" s="5" t="s">
        <v>11</v>
      </c>
      <c r="D3644" s="5" t="s">
        <v>12</v>
      </c>
      <c r="E3644" s="5" t="s">
        <v>2622</v>
      </c>
    </row>
    <row r="3645" spans="1:5" x14ac:dyDescent="0.25">
      <c r="A3645" s="5">
        <f>3637</f>
      </c>
      <c r="B3645" s="5" t="s">
        <v>3076</v>
      </c>
      <c r="C3645" s="5" t="s">
        <v>11</v>
      </c>
      <c r="D3645" s="5" t="s">
        <v>12</v>
      </c>
      <c r="E3645" s="5" t="s">
        <v>2622</v>
      </c>
    </row>
    <row r="3646" spans="1:5" x14ac:dyDescent="0.25">
      <c r="A3646" s="5">
        <f>3638</f>
      </c>
      <c r="B3646" s="5" t="s">
        <v>3076</v>
      </c>
      <c r="C3646" s="5" t="s">
        <v>11</v>
      </c>
      <c r="D3646" s="5" t="s">
        <v>12</v>
      </c>
      <c r="E3646" s="5" t="s">
        <v>2622</v>
      </c>
    </row>
    <row r="3647" spans="1:5" x14ac:dyDescent="0.25">
      <c r="A3647" s="5">
        <f>3639</f>
      </c>
      <c r="B3647" s="5" t="s">
        <v>3077</v>
      </c>
      <c r="C3647" s="5" t="s">
        <v>11</v>
      </c>
      <c r="D3647" s="5" t="s">
        <v>12</v>
      </c>
      <c r="E3647" s="5" t="s">
        <v>2622</v>
      </c>
    </row>
    <row r="3648" spans="1:5" x14ac:dyDescent="0.25">
      <c r="A3648" s="5">
        <f>3640</f>
      </c>
      <c r="B3648" s="5" t="s">
        <v>3077</v>
      </c>
      <c r="C3648" s="5" t="s">
        <v>11</v>
      </c>
      <c r="D3648" s="5" t="s">
        <v>12</v>
      </c>
      <c r="E3648" s="5" t="s">
        <v>2622</v>
      </c>
    </row>
    <row r="3649" spans="1:5" x14ac:dyDescent="0.25">
      <c r="A3649" s="5">
        <f>3641</f>
      </c>
      <c r="B3649" s="5" t="s">
        <v>3078</v>
      </c>
      <c r="C3649" s="5" t="s">
        <v>11</v>
      </c>
      <c r="D3649" s="5" t="s">
        <v>12</v>
      </c>
      <c r="E3649" s="5" t="s">
        <v>2622</v>
      </c>
    </row>
    <row r="3650" spans="1:5" x14ac:dyDescent="0.25">
      <c r="A3650" s="5">
        <f>3642</f>
      </c>
      <c r="B3650" s="5" t="s">
        <v>3078</v>
      </c>
      <c r="C3650" s="5" t="s">
        <v>11</v>
      </c>
      <c r="D3650" s="5" t="s">
        <v>12</v>
      </c>
      <c r="E3650" s="5" t="s">
        <v>2622</v>
      </c>
    </row>
    <row r="3651" spans="1:5" x14ac:dyDescent="0.25">
      <c r="A3651" s="5">
        <f>3643</f>
      </c>
      <c r="B3651" s="5" t="s">
        <v>3079</v>
      </c>
      <c r="C3651" s="5" t="s">
        <v>11</v>
      </c>
      <c r="D3651" s="5" t="s">
        <v>12</v>
      </c>
      <c r="E3651" s="5" t="s">
        <v>2622</v>
      </c>
    </row>
    <row r="3652" spans="1:5" x14ac:dyDescent="0.25">
      <c r="A3652" s="5">
        <f>3644</f>
      </c>
      <c r="B3652" s="5" t="s">
        <v>3079</v>
      </c>
      <c r="C3652" s="5" t="s">
        <v>11</v>
      </c>
      <c r="D3652" s="5" t="s">
        <v>12</v>
      </c>
      <c r="E3652" s="5" t="s">
        <v>2622</v>
      </c>
    </row>
    <row r="3653" spans="1:5" x14ac:dyDescent="0.25">
      <c r="A3653" s="5">
        <f>3645</f>
      </c>
      <c r="B3653" s="5" t="s">
        <v>3080</v>
      </c>
      <c r="C3653" s="5" t="s">
        <v>11</v>
      </c>
      <c r="D3653" s="5" t="s">
        <v>12</v>
      </c>
      <c r="E3653" s="5" t="s">
        <v>2622</v>
      </c>
    </row>
    <row r="3654" spans="1:5" x14ac:dyDescent="0.25">
      <c r="A3654" s="5">
        <f>3646</f>
      </c>
      <c r="B3654" s="5" t="s">
        <v>3080</v>
      </c>
      <c r="C3654" s="5" t="s">
        <v>11</v>
      </c>
      <c r="D3654" s="5" t="s">
        <v>12</v>
      </c>
      <c r="E3654" s="5" t="s">
        <v>2622</v>
      </c>
    </row>
    <row r="3655" spans="1:5" x14ac:dyDescent="0.25">
      <c r="A3655" s="5">
        <f>3647</f>
      </c>
      <c r="B3655" s="5" t="s">
        <v>3081</v>
      </c>
      <c r="C3655" s="5" t="s">
        <v>11</v>
      </c>
      <c r="D3655" s="5" t="s">
        <v>12</v>
      </c>
      <c r="E3655" s="5" t="s">
        <v>2622</v>
      </c>
    </row>
    <row r="3656" spans="1:5" x14ac:dyDescent="0.25">
      <c r="A3656" s="5">
        <f>3648</f>
      </c>
      <c r="B3656" s="5" t="s">
        <v>3081</v>
      </c>
      <c r="C3656" s="5" t="s">
        <v>11</v>
      </c>
      <c r="D3656" s="5" t="s">
        <v>12</v>
      </c>
      <c r="E3656" s="5" t="s">
        <v>2622</v>
      </c>
    </row>
    <row r="3657" spans="1:5" x14ac:dyDescent="0.25">
      <c r="A3657" s="5">
        <f>3649</f>
      </c>
      <c r="B3657" s="5" t="s">
        <v>3082</v>
      </c>
      <c r="C3657" s="5" t="s">
        <v>11</v>
      </c>
      <c r="D3657" s="5" t="s">
        <v>12</v>
      </c>
      <c r="E3657" s="5" t="s">
        <v>2622</v>
      </c>
    </row>
    <row r="3658" spans="1:5" x14ac:dyDescent="0.25">
      <c r="A3658" s="5">
        <f>3650</f>
      </c>
      <c r="B3658" s="5" t="s">
        <v>3082</v>
      </c>
      <c r="C3658" s="5" t="s">
        <v>11</v>
      </c>
      <c r="D3658" s="5" t="s">
        <v>12</v>
      </c>
      <c r="E3658" s="5" t="s">
        <v>2622</v>
      </c>
    </row>
    <row r="3659" spans="1:5" x14ac:dyDescent="0.25">
      <c r="A3659" s="5">
        <f>3651</f>
      </c>
      <c r="B3659" s="5" t="s">
        <v>3083</v>
      </c>
      <c r="C3659" s="5" t="s">
        <v>11</v>
      </c>
      <c r="D3659" s="5" t="s">
        <v>12</v>
      </c>
      <c r="E3659" s="5" t="s">
        <v>2622</v>
      </c>
    </row>
    <row r="3660" spans="1:5" x14ac:dyDescent="0.25">
      <c r="A3660" s="5">
        <f>3652</f>
      </c>
      <c r="B3660" s="5" t="s">
        <v>3083</v>
      </c>
      <c r="C3660" s="5" t="s">
        <v>11</v>
      </c>
      <c r="D3660" s="5" t="s">
        <v>12</v>
      </c>
      <c r="E3660" s="5" t="s">
        <v>2622</v>
      </c>
    </row>
    <row r="3661" spans="1:5" x14ac:dyDescent="0.25">
      <c r="A3661" s="5">
        <f>3653</f>
      </c>
      <c r="B3661" s="5" t="s">
        <v>3084</v>
      </c>
      <c r="C3661" s="5" t="s">
        <v>11</v>
      </c>
      <c r="D3661" s="5" t="s">
        <v>12</v>
      </c>
      <c r="E3661" s="5" t="s">
        <v>2622</v>
      </c>
    </row>
    <row r="3662" spans="1:5" x14ac:dyDescent="0.25">
      <c r="A3662" s="5">
        <f>3654</f>
      </c>
      <c r="B3662" s="5" t="s">
        <v>3084</v>
      </c>
      <c r="C3662" s="5" t="s">
        <v>11</v>
      </c>
      <c r="D3662" s="5" t="s">
        <v>12</v>
      </c>
      <c r="E3662" s="5" t="s">
        <v>2622</v>
      </c>
    </row>
    <row r="3663" spans="1:5" x14ac:dyDescent="0.25">
      <c r="A3663" s="5">
        <f>3655</f>
      </c>
      <c r="B3663" s="5" t="s">
        <v>3085</v>
      </c>
      <c r="C3663" s="5" t="s">
        <v>11</v>
      </c>
      <c r="D3663" s="5" t="s">
        <v>12</v>
      </c>
      <c r="E3663" s="5" t="s">
        <v>2622</v>
      </c>
    </row>
    <row r="3664" spans="1:5" x14ac:dyDescent="0.25">
      <c r="A3664" s="5">
        <f>3656</f>
      </c>
      <c r="B3664" s="5" t="s">
        <v>3085</v>
      </c>
      <c r="C3664" s="5" t="s">
        <v>11</v>
      </c>
      <c r="D3664" s="5" t="s">
        <v>12</v>
      </c>
      <c r="E3664" s="5" t="s">
        <v>2622</v>
      </c>
    </row>
    <row r="3665" spans="1:5" x14ac:dyDescent="0.25">
      <c r="A3665" s="5">
        <f>3657</f>
      </c>
      <c r="B3665" s="5" t="s">
        <v>3086</v>
      </c>
      <c r="C3665" s="5" t="s">
        <v>11</v>
      </c>
      <c r="D3665" s="5" t="s">
        <v>12</v>
      </c>
      <c r="E3665" s="5" t="s">
        <v>2622</v>
      </c>
    </row>
    <row r="3666" spans="1:5" x14ac:dyDescent="0.25">
      <c r="A3666" s="5">
        <f>3658</f>
      </c>
      <c r="B3666" s="5" t="s">
        <v>3086</v>
      </c>
      <c r="C3666" s="5" t="s">
        <v>11</v>
      </c>
      <c r="D3666" s="5" t="s">
        <v>12</v>
      </c>
      <c r="E3666" s="5" t="s">
        <v>2622</v>
      </c>
    </row>
    <row r="3667" spans="1:5" x14ac:dyDescent="0.25">
      <c r="A3667" s="5">
        <f>3659</f>
      </c>
      <c r="B3667" s="5" t="s">
        <v>3087</v>
      </c>
      <c r="C3667" s="5" t="s">
        <v>11</v>
      </c>
      <c r="D3667" s="5" t="s">
        <v>12</v>
      </c>
      <c r="E3667" s="5" t="s">
        <v>2622</v>
      </c>
    </row>
    <row r="3668" spans="1:5" x14ac:dyDescent="0.25">
      <c r="A3668" s="5">
        <f>3660</f>
      </c>
      <c r="B3668" s="5" t="s">
        <v>3087</v>
      </c>
      <c r="C3668" s="5" t="s">
        <v>11</v>
      </c>
      <c r="D3668" s="5" t="s">
        <v>12</v>
      </c>
      <c r="E3668" s="5" t="s">
        <v>2622</v>
      </c>
    </row>
    <row r="3669" spans="1:5" x14ac:dyDescent="0.25">
      <c r="A3669" s="5">
        <f>3661</f>
      </c>
      <c r="B3669" s="5" t="s">
        <v>3088</v>
      </c>
      <c r="C3669" s="5" t="s">
        <v>11</v>
      </c>
      <c r="D3669" s="5" t="s">
        <v>12</v>
      </c>
      <c r="E3669" s="5" t="s">
        <v>2645</v>
      </c>
    </row>
    <row r="3670" spans="1:5" x14ac:dyDescent="0.25">
      <c r="A3670" s="5">
        <f>3662</f>
      </c>
      <c r="B3670" s="5" t="s">
        <v>3088</v>
      </c>
      <c r="C3670" s="5" t="s">
        <v>11</v>
      </c>
      <c r="D3670" s="5" t="s">
        <v>12</v>
      </c>
      <c r="E3670" s="5" t="s">
        <v>2645</v>
      </c>
    </row>
    <row r="3671" spans="1:5" x14ac:dyDescent="0.25">
      <c r="A3671" s="5">
        <f>3663</f>
      </c>
      <c r="B3671" s="5" t="s">
        <v>3089</v>
      </c>
      <c r="C3671" s="5" t="s">
        <v>11</v>
      </c>
      <c r="D3671" s="5" t="s">
        <v>12</v>
      </c>
      <c r="E3671" s="5" t="s">
        <v>2645</v>
      </c>
    </row>
    <row r="3672" spans="1:5" x14ac:dyDescent="0.25">
      <c r="A3672" s="5">
        <f>3664</f>
      </c>
      <c r="B3672" s="5" t="s">
        <v>3089</v>
      </c>
      <c r="C3672" s="5" t="s">
        <v>11</v>
      </c>
      <c r="D3672" s="5" t="s">
        <v>12</v>
      </c>
      <c r="E3672" s="5" t="s">
        <v>2645</v>
      </c>
    </row>
    <row r="3673" spans="1:5" x14ac:dyDescent="0.25">
      <c r="A3673" s="5">
        <f>3665</f>
      </c>
      <c r="B3673" s="5" t="s">
        <v>3090</v>
      </c>
      <c r="C3673" s="5" t="s">
        <v>11</v>
      </c>
      <c r="D3673" s="5" t="s">
        <v>12</v>
      </c>
      <c r="E3673" s="5" t="s">
        <v>2645</v>
      </c>
    </row>
    <row r="3674" spans="1:5" x14ac:dyDescent="0.25">
      <c r="A3674" s="5">
        <f>3666</f>
      </c>
      <c r="B3674" s="5" t="s">
        <v>3090</v>
      </c>
      <c r="C3674" s="5" t="s">
        <v>11</v>
      </c>
      <c r="D3674" s="5" t="s">
        <v>12</v>
      </c>
      <c r="E3674" s="5" t="s">
        <v>2645</v>
      </c>
    </row>
    <row r="3675" spans="1:5" x14ac:dyDescent="0.25">
      <c r="A3675" s="5">
        <f>3667</f>
      </c>
      <c r="B3675" s="5" t="s">
        <v>3091</v>
      </c>
      <c r="C3675" s="5" t="s">
        <v>11</v>
      </c>
      <c r="D3675" s="5" t="s">
        <v>12</v>
      </c>
      <c r="E3675" s="5" t="s">
        <v>2645</v>
      </c>
    </row>
    <row r="3676" spans="1:5" x14ac:dyDescent="0.25">
      <c r="A3676" s="5">
        <f>3668</f>
      </c>
      <c r="B3676" s="5" t="s">
        <v>3091</v>
      </c>
      <c r="C3676" s="5" t="s">
        <v>11</v>
      </c>
      <c r="D3676" s="5" t="s">
        <v>12</v>
      </c>
      <c r="E3676" s="5" t="s">
        <v>2645</v>
      </c>
    </row>
    <row r="3677" spans="1:5" x14ac:dyDescent="0.25">
      <c r="A3677" s="5">
        <f>3669</f>
      </c>
      <c r="B3677" s="5" t="s">
        <v>3092</v>
      </c>
      <c r="C3677" s="5" t="s">
        <v>11</v>
      </c>
      <c r="D3677" s="5" t="s">
        <v>12</v>
      </c>
      <c r="E3677" s="5" t="s">
        <v>2645</v>
      </c>
    </row>
    <row r="3678" spans="1:5" x14ac:dyDescent="0.25">
      <c r="A3678" s="5">
        <f>3670</f>
      </c>
      <c r="B3678" s="5" t="s">
        <v>3092</v>
      </c>
      <c r="C3678" s="5" t="s">
        <v>11</v>
      </c>
      <c r="D3678" s="5" t="s">
        <v>12</v>
      </c>
      <c r="E3678" s="5" t="s">
        <v>2645</v>
      </c>
    </row>
    <row r="3679" spans="1:5" x14ac:dyDescent="0.25">
      <c r="A3679" s="5">
        <f>3671</f>
      </c>
      <c r="B3679" s="5" t="s">
        <v>3093</v>
      </c>
      <c r="C3679" s="5" t="s">
        <v>11</v>
      </c>
      <c r="D3679" s="5" t="s">
        <v>12</v>
      </c>
      <c r="E3679" s="5" t="s">
        <v>2645</v>
      </c>
    </row>
    <row r="3680" spans="1:5" x14ac:dyDescent="0.25">
      <c r="A3680" s="5">
        <f>3672</f>
      </c>
      <c r="B3680" s="5" t="s">
        <v>3093</v>
      </c>
      <c r="C3680" s="5" t="s">
        <v>11</v>
      </c>
      <c r="D3680" s="5" t="s">
        <v>12</v>
      </c>
      <c r="E3680" s="5" t="s">
        <v>2645</v>
      </c>
    </row>
    <row r="3681" spans="1:5" x14ac:dyDescent="0.25">
      <c r="A3681" s="5">
        <f>3673</f>
      </c>
      <c r="B3681" s="5" t="s">
        <v>3094</v>
      </c>
      <c r="C3681" s="5" t="s">
        <v>11</v>
      </c>
      <c r="D3681" s="5" t="s">
        <v>12</v>
      </c>
      <c r="E3681" s="5" t="s">
        <v>2645</v>
      </c>
    </row>
    <row r="3682" spans="1:5" x14ac:dyDescent="0.25">
      <c r="A3682" s="5">
        <f>3674</f>
      </c>
      <c r="B3682" s="5" t="s">
        <v>3094</v>
      </c>
      <c r="C3682" s="5" t="s">
        <v>11</v>
      </c>
      <c r="D3682" s="5" t="s">
        <v>12</v>
      </c>
      <c r="E3682" s="5" t="s">
        <v>2645</v>
      </c>
    </row>
    <row r="3683" spans="1:5" x14ac:dyDescent="0.25">
      <c r="A3683" s="5">
        <f>3675</f>
      </c>
      <c r="B3683" s="5" t="s">
        <v>3095</v>
      </c>
      <c r="C3683" s="5" t="s">
        <v>11</v>
      </c>
      <c r="D3683" s="5" t="s">
        <v>12</v>
      </c>
      <c r="E3683" s="5" t="s">
        <v>2645</v>
      </c>
    </row>
    <row r="3684" spans="1:5" x14ac:dyDescent="0.25">
      <c r="A3684" s="5">
        <f>3676</f>
      </c>
      <c r="B3684" s="5" t="s">
        <v>3095</v>
      </c>
      <c r="C3684" s="5" t="s">
        <v>11</v>
      </c>
      <c r="D3684" s="5" t="s">
        <v>12</v>
      </c>
      <c r="E3684" s="5" t="s">
        <v>2645</v>
      </c>
    </row>
    <row r="3685" spans="1:5" x14ac:dyDescent="0.25">
      <c r="A3685" s="5">
        <f>3677</f>
      </c>
      <c r="B3685" s="5" t="s">
        <v>3096</v>
      </c>
      <c r="C3685" s="5" t="s">
        <v>11</v>
      </c>
      <c r="D3685" s="5" t="s">
        <v>12</v>
      </c>
      <c r="E3685" s="5" t="s">
        <v>2645</v>
      </c>
    </row>
    <row r="3686" spans="1:5" x14ac:dyDescent="0.25">
      <c r="A3686" s="5">
        <f>3678</f>
      </c>
      <c r="B3686" s="5" t="s">
        <v>3096</v>
      </c>
      <c r="C3686" s="5" t="s">
        <v>11</v>
      </c>
      <c r="D3686" s="5" t="s">
        <v>12</v>
      </c>
      <c r="E3686" s="5" t="s">
        <v>2645</v>
      </c>
    </row>
    <row r="3687" spans="1:5" x14ac:dyDescent="0.25">
      <c r="A3687" s="5">
        <f>3679</f>
      </c>
      <c r="B3687" s="5" t="s">
        <v>3097</v>
      </c>
      <c r="C3687" s="5" t="s">
        <v>11</v>
      </c>
      <c r="D3687" s="5" t="s">
        <v>12</v>
      </c>
      <c r="E3687" s="5" t="s">
        <v>2645</v>
      </c>
    </row>
    <row r="3688" spans="1:5" x14ac:dyDescent="0.25">
      <c r="A3688" s="5">
        <f>3680</f>
      </c>
      <c r="B3688" s="5" t="s">
        <v>3097</v>
      </c>
      <c r="C3688" s="5" t="s">
        <v>11</v>
      </c>
      <c r="D3688" s="5" t="s">
        <v>12</v>
      </c>
      <c r="E3688" s="5" t="s">
        <v>2645</v>
      </c>
    </row>
    <row r="3689" spans="1:5" x14ac:dyDescent="0.25">
      <c r="A3689" s="5">
        <f>3681</f>
      </c>
      <c r="B3689" s="5" t="s">
        <v>3098</v>
      </c>
      <c r="C3689" s="5" t="s">
        <v>11</v>
      </c>
      <c r="D3689" s="5" t="s">
        <v>12</v>
      </c>
      <c r="E3689" s="5" t="s">
        <v>2645</v>
      </c>
    </row>
    <row r="3690" spans="1:5" x14ac:dyDescent="0.25">
      <c r="A3690" s="5">
        <f>3682</f>
      </c>
      <c r="B3690" s="5" t="s">
        <v>3098</v>
      </c>
      <c r="C3690" s="5" t="s">
        <v>11</v>
      </c>
      <c r="D3690" s="5" t="s">
        <v>12</v>
      </c>
      <c r="E3690" s="5" t="s">
        <v>2645</v>
      </c>
    </row>
    <row r="3691" spans="1:5" x14ac:dyDescent="0.25">
      <c r="A3691" s="5">
        <f>3683</f>
      </c>
      <c r="B3691" s="5" t="s">
        <v>3099</v>
      </c>
      <c r="C3691" s="5" t="s">
        <v>11</v>
      </c>
      <c r="D3691" s="5" t="s">
        <v>12</v>
      </c>
      <c r="E3691" s="5" t="s">
        <v>2645</v>
      </c>
    </row>
    <row r="3692" spans="1:5" x14ac:dyDescent="0.25">
      <c r="A3692" s="5">
        <f>3684</f>
      </c>
      <c r="B3692" s="5" t="s">
        <v>3099</v>
      </c>
      <c r="C3692" s="5" t="s">
        <v>11</v>
      </c>
      <c r="D3692" s="5" t="s">
        <v>12</v>
      </c>
      <c r="E3692" s="5" t="s">
        <v>2645</v>
      </c>
    </row>
    <row r="3693" spans="1:5" x14ac:dyDescent="0.25">
      <c r="A3693" s="5">
        <f>3685</f>
      </c>
      <c r="B3693" s="5" t="s">
        <v>3100</v>
      </c>
      <c r="C3693" s="5" t="s">
        <v>11</v>
      </c>
      <c r="D3693" s="5" t="s">
        <v>12</v>
      </c>
      <c r="E3693" s="5" t="s">
        <v>2645</v>
      </c>
    </row>
    <row r="3694" spans="1:5" x14ac:dyDescent="0.25">
      <c r="A3694" s="5">
        <f>3686</f>
      </c>
      <c r="B3694" s="5" t="s">
        <v>3100</v>
      </c>
      <c r="C3694" s="5" t="s">
        <v>11</v>
      </c>
      <c r="D3694" s="5" t="s">
        <v>12</v>
      </c>
      <c r="E3694" s="5" t="s">
        <v>2645</v>
      </c>
    </row>
    <row r="3695" spans="1:5" x14ac:dyDescent="0.25">
      <c r="A3695" s="5">
        <f>3687</f>
      </c>
      <c r="B3695" s="5" t="s">
        <v>3101</v>
      </c>
      <c r="C3695" s="5" t="s">
        <v>11</v>
      </c>
      <c r="D3695" s="5" t="s">
        <v>12</v>
      </c>
      <c r="E3695" s="5" t="s">
        <v>2645</v>
      </c>
    </row>
    <row r="3696" spans="1:5" x14ac:dyDescent="0.25">
      <c r="A3696" s="5">
        <f>3688</f>
      </c>
      <c r="B3696" s="5" t="s">
        <v>3101</v>
      </c>
      <c r="C3696" s="5" t="s">
        <v>11</v>
      </c>
      <c r="D3696" s="5" t="s">
        <v>12</v>
      </c>
      <c r="E3696" s="5" t="s">
        <v>2645</v>
      </c>
    </row>
    <row r="3697" spans="1:5" x14ac:dyDescent="0.25">
      <c r="A3697" s="5">
        <f>3689</f>
      </c>
      <c r="B3697" s="5" t="s">
        <v>3102</v>
      </c>
      <c r="C3697" s="5" t="s">
        <v>11</v>
      </c>
      <c r="D3697" s="5" t="s">
        <v>12</v>
      </c>
      <c r="E3697" s="5" t="s">
        <v>2645</v>
      </c>
    </row>
    <row r="3698" spans="1:5" x14ac:dyDescent="0.25">
      <c r="A3698" s="5">
        <f>3690</f>
      </c>
      <c r="B3698" s="5" t="s">
        <v>3102</v>
      </c>
      <c r="C3698" s="5" t="s">
        <v>11</v>
      </c>
      <c r="D3698" s="5" t="s">
        <v>12</v>
      </c>
      <c r="E3698" s="5" t="s">
        <v>2645</v>
      </c>
    </row>
    <row r="3699" spans="1:5" x14ac:dyDescent="0.25">
      <c r="A3699" s="5">
        <f>3691</f>
      </c>
      <c r="B3699" s="5" t="s">
        <v>3103</v>
      </c>
      <c r="C3699" s="5" t="s">
        <v>11</v>
      </c>
      <c r="D3699" s="5" t="s">
        <v>12</v>
      </c>
      <c r="E3699" s="5" t="s">
        <v>2645</v>
      </c>
    </row>
    <row r="3700" spans="1:5" x14ac:dyDescent="0.25">
      <c r="A3700" s="5">
        <f>3692</f>
      </c>
      <c r="B3700" s="5" t="s">
        <v>3103</v>
      </c>
      <c r="C3700" s="5" t="s">
        <v>11</v>
      </c>
      <c r="D3700" s="5" t="s">
        <v>12</v>
      </c>
      <c r="E3700" s="5" t="s">
        <v>2645</v>
      </c>
    </row>
    <row r="3701" spans="1:5" x14ac:dyDescent="0.25">
      <c r="A3701" s="5">
        <f>3693</f>
      </c>
      <c r="B3701" s="5" t="s">
        <v>3104</v>
      </c>
      <c r="C3701" s="5" t="s">
        <v>11</v>
      </c>
      <c r="D3701" s="5" t="s">
        <v>12</v>
      </c>
      <c r="E3701" s="5" t="s">
        <v>2645</v>
      </c>
    </row>
    <row r="3702" spans="1:5" x14ac:dyDescent="0.25">
      <c r="A3702" s="5">
        <f>3694</f>
      </c>
      <c r="B3702" s="5" t="s">
        <v>3104</v>
      </c>
      <c r="C3702" s="5" t="s">
        <v>11</v>
      </c>
      <c r="D3702" s="5" t="s">
        <v>12</v>
      </c>
      <c r="E3702" s="5" t="s">
        <v>2645</v>
      </c>
    </row>
    <row r="3703" spans="1:5" x14ac:dyDescent="0.25">
      <c r="A3703" s="5">
        <f>3695</f>
      </c>
      <c r="B3703" s="5" t="s">
        <v>3105</v>
      </c>
      <c r="C3703" s="5" t="s">
        <v>11</v>
      </c>
      <c r="D3703" s="5" t="s">
        <v>12</v>
      </c>
      <c r="E3703" s="5" t="s">
        <v>2645</v>
      </c>
    </row>
    <row r="3704" spans="1:5" x14ac:dyDescent="0.25">
      <c r="A3704" s="5">
        <f>3696</f>
      </c>
      <c r="B3704" s="5" t="s">
        <v>3105</v>
      </c>
      <c r="C3704" s="5" t="s">
        <v>11</v>
      </c>
      <c r="D3704" s="5" t="s">
        <v>12</v>
      </c>
      <c r="E3704" s="5" t="s">
        <v>2645</v>
      </c>
    </row>
    <row r="3705" spans="1:5" x14ac:dyDescent="0.25">
      <c r="A3705" s="5">
        <f>3697</f>
      </c>
      <c r="B3705" s="5" t="s">
        <v>3106</v>
      </c>
      <c r="C3705" s="5" t="s">
        <v>11</v>
      </c>
      <c r="D3705" s="5" t="s">
        <v>12</v>
      </c>
      <c r="E3705" s="5" t="s">
        <v>2645</v>
      </c>
    </row>
    <row r="3706" spans="1:5" x14ac:dyDescent="0.25">
      <c r="A3706" s="5">
        <f>3698</f>
      </c>
      <c r="B3706" s="5" t="s">
        <v>3106</v>
      </c>
      <c r="C3706" s="5" t="s">
        <v>11</v>
      </c>
      <c r="D3706" s="5" t="s">
        <v>12</v>
      </c>
      <c r="E3706" s="5" t="s">
        <v>2645</v>
      </c>
    </row>
    <row r="3707" spans="1:5" x14ac:dyDescent="0.25">
      <c r="A3707" s="5">
        <f>3699</f>
      </c>
      <c r="B3707" s="5" t="s">
        <v>3107</v>
      </c>
      <c r="C3707" s="5" t="s">
        <v>11</v>
      </c>
      <c r="D3707" s="5" t="s">
        <v>12</v>
      </c>
      <c r="E3707" s="5" t="s">
        <v>2645</v>
      </c>
    </row>
    <row r="3708" spans="1:5" x14ac:dyDescent="0.25">
      <c r="A3708" s="5">
        <f>3700</f>
      </c>
      <c r="B3708" s="5" t="s">
        <v>3107</v>
      </c>
      <c r="C3708" s="5" t="s">
        <v>11</v>
      </c>
      <c r="D3708" s="5" t="s">
        <v>12</v>
      </c>
      <c r="E3708" s="5" t="s">
        <v>2645</v>
      </c>
    </row>
    <row r="3709" spans="1:5" x14ac:dyDescent="0.25">
      <c r="A3709" s="5">
        <f>3701</f>
      </c>
      <c r="B3709" s="5" t="s">
        <v>3108</v>
      </c>
      <c r="C3709" s="5" t="s">
        <v>11</v>
      </c>
      <c r="D3709" s="5" t="s">
        <v>12</v>
      </c>
      <c r="E3709" s="5" t="s">
        <v>2645</v>
      </c>
    </row>
    <row r="3710" spans="1:5" x14ac:dyDescent="0.25">
      <c r="A3710" s="5">
        <f>3702</f>
      </c>
      <c r="B3710" s="5" t="s">
        <v>3108</v>
      </c>
      <c r="C3710" s="5" t="s">
        <v>11</v>
      </c>
      <c r="D3710" s="5" t="s">
        <v>12</v>
      </c>
      <c r="E3710" s="5" t="s">
        <v>2645</v>
      </c>
    </row>
    <row r="3711" spans="1:5" x14ac:dyDescent="0.25">
      <c r="A3711" s="5">
        <f>3703</f>
      </c>
      <c r="B3711" s="5" t="s">
        <v>3109</v>
      </c>
      <c r="C3711" s="5" t="s">
        <v>11</v>
      </c>
      <c r="D3711" s="5" t="s">
        <v>12</v>
      </c>
      <c r="E3711" s="5" t="s">
        <v>2645</v>
      </c>
    </row>
    <row r="3712" spans="1:5" x14ac:dyDescent="0.25">
      <c r="A3712" s="5">
        <f>3704</f>
      </c>
      <c r="B3712" s="5" t="s">
        <v>3109</v>
      </c>
      <c r="C3712" s="5" t="s">
        <v>11</v>
      </c>
      <c r="D3712" s="5" t="s">
        <v>12</v>
      </c>
      <c r="E3712" s="5" t="s">
        <v>2645</v>
      </c>
    </row>
    <row r="3713" spans="1:5" x14ac:dyDescent="0.25">
      <c r="A3713" s="5">
        <f>3705</f>
      </c>
      <c r="B3713" s="5" t="s">
        <v>3110</v>
      </c>
      <c r="C3713" s="5" t="s">
        <v>11</v>
      </c>
      <c r="D3713" s="5" t="s">
        <v>12</v>
      </c>
      <c r="E3713" s="5" t="s">
        <v>2645</v>
      </c>
    </row>
    <row r="3714" spans="1:5" x14ac:dyDescent="0.25">
      <c r="A3714" s="5">
        <f>3706</f>
      </c>
      <c r="B3714" s="5" t="s">
        <v>3110</v>
      </c>
      <c r="C3714" s="5" t="s">
        <v>11</v>
      </c>
      <c r="D3714" s="5" t="s">
        <v>12</v>
      </c>
      <c r="E3714" s="5" t="s">
        <v>2645</v>
      </c>
    </row>
    <row r="3715" spans="1:5" x14ac:dyDescent="0.25">
      <c r="A3715" s="5">
        <f>3707</f>
      </c>
      <c r="B3715" s="5" t="s">
        <v>3111</v>
      </c>
      <c r="C3715" s="5" t="s">
        <v>11</v>
      </c>
      <c r="D3715" s="5" t="s">
        <v>12</v>
      </c>
      <c r="E3715" s="5" t="s">
        <v>2645</v>
      </c>
    </row>
    <row r="3716" spans="1:5" x14ac:dyDescent="0.25">
      <c r="A3716" s="5">
        <f>3708</f>
      </c>
      <c r="B3716" s="5" t="s">
        <v>3111</v>
      </c>
      <c r="C3716" s="5" t="s">
        <v>11</v>
      </c>
      <c r="D3716" s="5" t="s">
        <v>12</v>
      </c>
      <c r="E3716" s="5" t="s">
        <v>2645</v>
      </c>
    </row>
    <row r="3717" spans="1:5" x14ac:dyDescent="0.25">
      <c r="A3717" s="5">
        <f>3709</f>
      </c>
      <c r="B3717" s="5" t="s">
        <v>3112</v>
      </c>
      <c r="C3717" s="5" t="s">
        <v>11</v>
      </c>
      <c r="D3717" s="5" t="s">
        <v>12</v>
      </c>
      <c r="E3717" s="5" t="s">
        <v>2645</v>
      </c>
    </row>
    <row r="3718" spans="1:5" x14ac:dyDescent="0.25">
      <c r="A3718" s="5">
        <f>3710</f>
      </c>
      <c r="B3718" s="5" t="s">
        <v>3112</v>
      </c>
      <c r="C3718" s="5" t="s">
        <v>11</v>
      </c>
      <c r="D3718" s="5" t="s">
        <v>12</v>
      </c>
      <c r="E3718" s="5" t="s">
        <v>2645</v>
      </c>
    </row>
    <row r="3719" spans="1:5" x14ac:dyDescent="0.25">
      <c r="A3719" s="5">
        <f>3711</f>
      </c>
      <c r="B3719" s="5" t="s">
        <v>3113</v>
      </c>
      <c r="C3719" s="5" t="s">
        <v>11</v>
      </c>
      <c r="D3719" s="5" t="s">
        <v>12</v>
      </c>
      <c r="E3719" s="5" t="s">
        <v>2645</v>
      </c>
    </row>
    <row r="3720" spans="1:5" x14ac:dyDescent="0.25">
      <c r="A3720" s="5">
        <f>3712</f>
      </c>
      <c r="B3720" s="5" t="s">
        <v>3113</v>
      </c>
      <c r="C3720" s="5" t="s">
        <v>11</v>
      </c>
      <c r="D3720" s="5" t="s">
        <v>12</v>
      </c>
      <c r="E3720" s="5" t="s">
        <v>2645</v>
      </c>
    </row>
    <row r="3721" spans="1:5" x14ac:dyDescent="0.25">
      <c r="A3721" s="5">
        <f>3713</f>
      </c>
      <c r="B3721" s="5" t="s">
        <v>3114</v>
      </c>
      <c r="C3721" s="5" t="s">
        <v>11</v>
      </c>
      <c r="D3721" s="5" t="s">
        <v>12</v>
      </c>
      <c r="E3721" s="5" t="s">
        <v>2645</v>
      </c>
    </row>
    <row r="3722" spans="1:5" x14ac:dyDescent="0.25">
      <c r="A3722" s="5">
        <f>3714</f>
      </c>
      <c r="B3722" s="5" t="s">
        <v>3114</v>
      </c>
      <c r="C3722" s="5" t="s">
        <v>11</v>
      </c>
      <c r="D3722" s="5" t="s">
        <v>12</v>
      </c>
      <c r="E3722" s="5" t="s">
        <v>2645</v>
      </c>
    </row>
    <row r="3723" spans="1:5" x14ac:dyDescent="0.25">
      <c r="A3723" s="5">
        <f>3715</f>
      </c>
      <c r="B3723" s="5" t="s">
        <v>3115</v>
      </c>
      <c r="C3723" s="5" t="s">
        <v>11</v>
      </c>
      <c r="D3723" s="5" t="s">
        <v>12</v>
      </c>
      <c r="E3723" s="5" t="s">
        <v>2645</v>
      </c>
    </row>
    <row r="3724" spans="1:5" x14ac:dyDescent="0.25">
      <c r="A3724" s="5">
        <f>3716</f>
      </c>
      <c r="B3724" s="5" t="s">
        <v>3115</v>
      </c>
      <c r="C3724" s="5" t="s">
        <v>11</v>
      </c>
      <c r="D3724" s="5" t="s">
        <v>12</v>
      </c>
      <c r="E3724" s="5" t="s">
        <v>2645</v>
      </c>
    </row>
    <row r="3725" spans="1:5" x14ac:dyDescent="0.25">
      <c r="A3725" s="5">
        <f>3717</f>
      </c>
      <c r="B3725" s="5" t="s">
        <v>3116</v>
      </c>
      <c r="C3725" s="5" t="s">
        <v>11</v>
      </c>
      <c r="D3725" s="5" t="s">
        <v>12</v>
      </c>
      <c r="E3725" s="5" t="s">
        <v>2645</v>
      </c>
    </row>
    <row r="3726" spans="1:5" x14ac:dyDescent="0.25">
      <c r="A3726" s="5">
        <f>3718</f>
      </c>
      <c r="B3726" s="5" t="s">
        <v>3116</v>
      </c>
      <c r="C3726" s="5" t="s">
        <v>11</v>
      </c>
      <c r="D3726" s="5" t="s">
        <v>12</v>
      </c>
      <c r="E3726" s="5" t="s">
        <v>2645</v>
      </c>
    </row>
    <row r="3727" spans="1:5" x14ac:dyDescent="0.25">
      <c r="A3727" s="5">
        <f>3719</f>
      </c>
      <c r="B3727" s="5" t="s">
        <v>3117</v>
      </c>
      <c r="C3727" s="5" t="s">
        <v>11</v>
      </c>
      <c r="D3727" s="5" t="s">
        <v>12</v>
      </c>
      <c r="E3727" s="5" t="s">
        <v>2645</v>
      </c>
    </row>
    <row r="3728" spans="1:5" x14ac:dyDescent="0.25">
      <c r="A3728" s="5">
        <f>3720</f>
      </c>
      <c r="B3728" s="5" t="s">
        <v>3117</v>
      </c>
      <c r="C3728" s="5" t="s">
        <v>11</v>
      </c>
      <c r="D3728" s="5" t="s">
        <v>12</v>
      </c>
      <c r="E3728" s="5" t="s">
        <v>2645</v>
      </c>
    </row>
    <row r="3729" spans="1:5" x14ac:dyDescent="0.25">
      <c r="A3729" s="5">
        <f>3721</f>
      </c>
      <c r="B3729" s="5" t="s">
        <v>3118</v>
      </c>
      <c r="C3729" s="5" t="s">
        <v>11</v>
      </c>
      <c r="D3729" s="5" t="s">
        <v>12</v>
      </c>
      <c r="E3729" s="5" t="s">
        <v>2645</v>
      </c>
    </row>
    <row r="3730" spans="1:5" x14ac:dyDescent="0.25">
      <c r="A3730" s="5">
        <f>3722</f>
      </c>
      <c r="B3730" s="5" t="s">
        <v>3118</v>
      </c>
      <c r="C3730" s="5" t="s">
        <v>11</v>
      </c>
      <c r="D3730" s="5" t="s">
        <v>12</v>
      </c>
      <c r="E3730" s="5" t="s">
        <v>2645</v>
      </c>
    </row>
    <row r="3731" spans="1:5" x14ac:dyDescent="0.25">
      <c r="A3731" s="5">
        <f>3723</f>
      </c>
      <c r="B3731" s="5" t="s">
        <v>3119</v>
      </c>
      <c r="C3731" s="5" t="s">
        <v>11</v>
      </c>
      <c r="D3731" s="5" t="s">
        <v>12</v>
      </c>
      <c r="E3731" s="5" t="s">
        <v>2645</v>
      </c>
    </row>
    <row r="3732" spans="1:5" x14ac:dyDescent="0.25">
      <c r="A3732" s="5">
        <f>3724</f>
      </c>
      <c r="B3732" s="5" t="s">
        <v>3119</v>
      </c>
      <c r="C3732" s="5" t="s">
        <v>11</v>
      </c>
      <c r="D3732" s="5" t="s">
        <v>12</v>
      </c>
      <c r="E3732" s="5" t="s">
        <v>2645</v>
      </c>
    </row>
    <row r="3733" spans="1:5" x14ac:dyDescent="0.25">
      <c r="A3733" s="5">
        <f>3725</f>
      </c>
      <c r="B3733" s="5" t="s">
        <v>3120</v>
      </c>
      <c r="C3733" s="5" t="s">
        <v>11</v>
      </c>
      <c r="D3733" s="5" t="s">
        <v>12</v>
      </c>
      <c r="E3733" s="5" t="s">
        <v>2645</v>
      </c>
    </row>
    <row r="3734" spans="1:5" x14ac:dyDescent="0.25">
      <c r="A3734" s="5">
        <f>3726</f>
      </c>
      <c r="B3734" s="5" t="s">
        <v>3120</v>
      </c>
      <c r="C3734" s="5" t="s">
        <v>11</v>
      </c>
      <c r="D3734" s="5" t="s">
        <v>12</v>
      </c>
      <c r="E3734" s="5" t="s">
        <v>2645</v>
      </c>
    </row>
    <row r="3735" spans="1:5" x14ac:dyDescent="0.25">
      <c r="A3735" s="5">
        <f>3727</f>
      </c>
      <c r="B3735" s="5" t="s">
        <v>3121</v>
      </c>
      <c r="C3735" s="5" t="s">
        <v>11</v>
      </c>
      <c r="D3735" s="5" t="s">
        <v>12</v>
      </c>
      <c r="E3735" s="5" t="s">
        <v>2645</v>
      </c>
    </row>
    <row r="3736" spans="1:5" x14ac:dyDescent="0.25">
      <c r="A3736" s="5">
        <f>3728</f>
      </c>
      <c r="B3736" s="5" t="s">
        <v>3121</v>
      </c>
      <c r="C3736" s="5" t="s">
        <v>11</v>
      </c>
      <c r="D3736" s="5" t="s">
        <v>12</v>
      </c>
      <c r="E3736" s="5" t="s">
        <v>2645</v>
      </c>
    </row>
    <row r="3737" spans="1:5" x14ac:dyDescent="0.25">
      <c r="A3737" s="5">
        <f>3729</f>
      </c>
      <c r="B3737" s="5" t="s">
        <v>3122</v>
      </c>
      <c r="C3737" s="5" t="s">
        <v>11</v>
      </c>
      <c r="D3737" s="5" t="s">
        <v>12</v>
      </c>
      <c r="E3737" s="5" t="s">
        <v>2645</v>
      </c>
    </row>
    <row r="3738" spans="1:5" x14ac:dyDescent="0.25">
      <c r="A3738" s="5">
        <f>3730</f>
      </c>
      <c r="B3738" s="5" t="s">
        <v>3122</v>
      </c>
      <c r="C3738" s="5" t="s">
        <v>11</v>
      </c>
      <c r="D3738" s="5" t="s">
        <v>12</v>
      </c>
      <c r="E3738" s="5" t="s">
        <v>2645</v>
      </c>
    </row>
    <row r="3739" spans="1:5" x14ac:dyDescent="0.25">
      <c r="A3739" s="5">
        <f>3731</f>
      </c>
      <c r="B3739" s="5" t="s">
        <v>3123</v>
      </c>
      <c r="C3739" s="5" t="s">
        <v>11</v>
      </c>
      <c r="D3739" s="5" t="s">
        <v>12</v>
      </c>
      <c r="E3739" s="5" t="s">
        <v>2645</v>
      </c>
    </row>
    <row r="3740" spans="1:5" x14ac:dyDescent="0.25">
      <c r="A3740" s="5">
        <f>3732</f>
      </c>
      <c r="B3740" s="5" t="s">
        <v>3123</v>
      </c>
      <c r="C3740" s="5" t="s">
        <v>11</v>
      </c>
      <c r="D3740" s="5" t="s">
        <v>12</v>
      </c>
      <c r="E3740" s="5" t="s">
        <v>2645</v>
      </c>
    </row>
    <row r="3741" spans="1:5" x14ac:dyDescent="0.25">
      <c r="A3741" s="5">
        <f>3733</f>
      </c>
      <c r="B3741" s="5" t="s">
        <v>3124</v>
      </c>
      <c r="C3741" s="5" t="s">
        <v>11</v>
      </c>
      <c r="D3741" s="5" t="s">
        <v>12</v>
      </c>
      <c r="E3741" s="5" t="s">
        <v>2645</v>
      </c>
    </row>
    <row r="3742" spans="1:5" x14ac:dyDescent="0.25">
      <c r="A3742" s="5">
        <f>3734</f>
      </c>
      <c r="B3742" s="5" t="s">
        <v>3124</v>
      </c>
      <c r="C3742" s="5" t="s">
        <v>11</v>
      </c>
      <c r="D3742" s="5" t="s">
        <v>12</v>
      </c>
      <c r="E3742" s="5" t="s">
        <v>2645</v>
      </c>
    </row>
    <row r="3743" spans="1:5" x14ac:dyDescent="0.25">
      <c r="A3743" s="5">
        <f>3735</f>
      </c>
      <c r="B3743" s="5" t="s">
        <v>3125</v>
      </c>
      <c r="C3743" s="5" t="s">
        <v>11</v>
      </c>
      <c r="D3743" s="5" t="s">
        <v>12</v>
      </c>
      <c r="E3743" s="5" t="s">
        <v>2645</v>
      </c>
    </row>
    <row r="3744" spans="1:5" x14ac:dyDescent="0.25">
      <c r="A3744" s="5">
        <f>3736</f>
      </c>
      <c r="B3744" s="5" t="s">
        <v>3125</v>
      </c>
      <c r="C3744" s="5" t="s">
        <v>11</v>
      </c>
      <c r="D3744" s="5" t="s">
        <v>12</v>
      </c>
      <c r="E3744" s="5" t="s">
        <v>2645</v>
      </c>
    </row>
    <row r="3745" spans="1:5" x14ac:dyDescent="0.25">
      <c r="A3745" s="5">
        <f>3737</f>
      </c>
      <c r="B3745" s="5" t="s">
        <v>3126</v>
      </c>
      <c r="C3745" s="5" t="s">
        <v>11</v>
      </c>
      <c r="D3745" s="5" t="s">
        <v>12</v>
      </c>
      <c r="E3745" s="5" t="s">
        <v>2645</v>
      </c>
    </row>
    <row r="3746" spans="1:5" x14ac:dyDescent="0.25">
      <c r="A3746" s="5">
        <f>3738</f>
      </c>
      <c r="B3746" s="5" t="s">
        <v>3126</v>
      </c>
      <c r="C3746" s="5" t="s">
        <v>11</v>
      </c>
      <c r="D3746" s="5" t="s">
        <v>12</v>
      </c>
      <c r="E3746" s="5" t="s">
        <v>2645</v>
      </c>
    </row>
    <row r="3747" spans="1:5" x14ac:dyDescent="0.25">
      <c r="A3747" s="5">
        <f>3739</f>
      </c>
      <c r="B3747" s="5" t="s">
        <v>3127</v>
      </c>
      <c r="C3747" s="5" t="s">
        <v>11</v>
      </c>
      <c r="D3747" s="5" t="s">
        <v>12</v>
      </c>
      <c r="E3747" s="5" t="s">
        <v>2645</v>
      </c>
    </row>
    <row r="3748" spans="1:5" x14ac:dyDescent="0.25">
      <c r="A3748" s="5">
        <f>3740</f>
      </c>
      <c r="B3748" s="5" t="s">
        <v>3127</v>
      </c>
      <c r="C3748" s="5" t="s">
        <v>11</v>
      </c>
      <c r="D3748" s="5" t="s">
        <v>12</v>
      </c>
      <c r="E3748" s="5" t="s">
        <v>2645</v>
      </c>
    </row>
    <row r="3749" spans="1:5" x14ac:dyDescent="0.25">
      <c r="A3749" s="5">
        <f>3741</f>
      </c>
      <c r="B3749" s="5" t="s">
        <v>3128</v>
      </c>
      <c r="C3749" s="5" t="s">
        <v>11</v>
      </c>
      <c r="D3749" s="5" t="s">
        <v>12</v>
      </c>
      <c r="E3749" s="5" t="s">
        <v>2645</v>
      </c>
    </row>
    <row r="3750" spans="1:5" x14ac:dyDescent="0.25">
      <c r="A3750" s="5">
        <f>3742</f>
      </c>
      <c r="B3750" s="5" t="s">
        <v>3128</v>
      </c>
      <c r="C3750" s="5" t="s">
        <v>11</v>
      </c>
      <c r="D3750" s="5" t="s">
        <v>12</v>
      </c>
      <c r="E3750" s="5" t="s">
        <v>2645</v>
      </c>
    </row>
    <row r="3751" spans="1:5" x14ac:dyDescent="0.25">
      <c r="A3751" s="5">
        <f>3743</f>
      </c>
      <c r="B3751" s="5" t="s">
        <v>3129</v>
      </c>
      <c r="C3751" s="5" t="s">
        <v>11</v>
      </c>
      <c r="D3751" s="5" t="s">
        <v>12</v>
      </c>
      <c r="E3751" s="5" t="s">
        <v>2645</v>
      </c>
    </row>
    <row r="3752" spans="1:5" x14ac:dyDescent="0.25">
      <c r="A3752" s="5">
        <f>3744</f>
      </c>
      <c r="B3752" s="5" t="s">
        <v>3129</v>
      </c>
      <c r="C3752" s="5" t="s">
        <v>11</v>
      </c>
      <c r="D3752" s="5" t="s">
        <v>12</v>
      </c>
      <c r="E3752" s="5" t="s">
        <v>2645</v>
      </c>
    </row>
    <row r="3753" spans="1:5" x14ac:dyDescent="0.25">
      <c r="A3753" s="5">
        <f>3745</f>
      </c>
      <c r="B3753" s="5" t="s">
        <v>3130</v>
      </c>
      <c r="C3753" s="5" t="s">
        <v>11</v>
      </c>
      <c r="D3753" s="5" t="s">
        <v>12</v>
      </c>
      <c r="E3753" s="5" t="s">
        <v>2645</v>
      </c>
    </row>
    <row r="3754" spans="1:5" x14ac:dyDescent="0.25">
      <c r="A3754" s="5">
        <f>3746</f>
      </c>
      <c r="B3754" s="5" t="s">
        <v>3130</v>
      </c>
      <c r="C3754" s="5" t="s">
        <v>11</v>
      </c>
      <c r="D3754" s="5" t="s">
        <v>12</v>
      </c>
      <c r="E3754" s="5" t="s">
        <v>2645</v>
      </c>
    </row>
    <row r="3755" spans="1:5" x14ac:dyDescent="0.25">
      <c r="A3755" s="5">
        <f>3747</f>
      </c>
      <c r="B3755" s="5" t="s">
        <v>3131</v>
      </c>
      <c r="C3755" s="5" t="s">
        <v>11</v>
      </c>
      <c r="D3755" s="5" t="s">
        <v>12</v>
      </c>
      <c r="E3755" s="5" t="s">
        <v>2645</v>
      </c>
    </row>
    <row r="3756" spans="1:5" x14ac:dyDescent="0.25">
      <c r="A3756" s="5">
        <f>3748</f>
      </c>
      <c r="B3756" s="5" t="s">
        <v>3131</v>
      </c>
      <c r="C3756" s="5" t="s">
        <v>11</v>
      </c>
      <c r="D3756" s="5" t="s">
        <v>12</v>
      </c>
      <c r="E3756" s="5" t="s">
        <v>2645</v>
      </c>
    </row>
    <row r="3757" spans="1:5" x14ac:dyDescent="0.25">
      <c r="A3757" s="5">
        <f>3749</f>
      </c>
      <c r="B3757" s="5" t="s">
        <v>3132</v>
      </c>
      <c r="C3757" s="5" t="s">
        <v>11</v>
      </c>
      <c r="D3757" s="5" t="s">
        <v>12</v>
      </c>
      <c r="E3757" s="5" t="s">
        <v>2645</v>
      </c>
    </row>
    <row r="3758" spans="1:5" x14ac:dyDescent="0.25">
      <c r="A3758" s="5">
        <f>3750</f>
      </c>
      <c r="B3758" s="5" t="s">
        <v>3132</v>
      </c>
      <c r="C3758" s="5" t="s">
        <v>11</v>
      </c>
      <c r="D3758" s="5" t="s">
        <v>12</v>
      </c>
      <c r="E3758" s="5" t="s">
        <v>2645</v>
      </c>
    </row>
    <row r="3759" spans="1:5" x14ac:dyDescent="0.25">
      <c r="A3759" s="5">
        <f>3751</f>
      </c>
      <c r="B3759" s="5" t="s">
        <v>3133</v>
      </c>
      <c r="C3759" s="5" t="s">
        <v>11</v>
      </c>
      <c r="D3759" s="5" t="s">
        <v>12</v>
      </c>
      <c r="E3759" s="5" t="s">
        <v>2645</v>
      </c>
    </row>
    <row r="3760" spans="1:5" x14ac:dyDescent="0.25">
      <c r="A3760" s="5">
        <f>3752</f>
      </c>
      <c r="B3760" s="5" t="s">
        <v>3133</v>
      </c>
      <c r="C3760" s="5" t="s">
        <v>11</v>
      </c>
      <c r="D3760" s="5" t="s">
        <v>12</v>
      </c>
      <c r="E3760" s="5" t="s">
        <v>2645</v>
      </c>
    </row>
    <row r="3761" spans="1:5" x14ac:dyDescent="0.25">
      <c r="A3761" s="5">
        <f>3753</f>
      </c>
      <c r="B3761" s="5" t="s">
        <v>3134</v>
      </c>
      <c r="C3761" s="5" t="s">
        <v>11</v>
      </c>
      <c r="D3761" s="5" t="s">
        <v>12</v>
      </c>
      <c r="E3761" s="5" t="s">
        <v>2645</v>
      </c>
    </row>
    <row r="3762" spans="1:5" x14ac:dyDescent="0.25">
      <c r="A3762" s="5">
        <f>3754</f>
      </c>
      <c r="B3762" s="5" t="s">
        <v>3134</v>
      </c>
      <c r="C3762" s="5" t="s">
        <v>11</v>
      </c>
      <c r="D3762" s="5" t="s">
        <v>12</v>
      </c>
      <c r="E3762" s="5" t="s">
        <v>2645</v>
      </c>
    </row>
    <row r="3763" spans="1:5" x14ac:dyDescent="0.25">
      <c r="A3763" s="5">
        <f>3755</f>
      </c>
      <c r="B3763" s="5" t="s">
        <v>3135</v>
      </c>
      <c r="C3763" s="5" t="s">
        <v>11</v>
      </c>
      <c r="D3763" s="5" t="s">
        <v>12</v>
      </c>
      <c r="E3763" s="5" t="s">
        <v>2645</v>
      </c>
    </row>
    <row r="3764" spans="1:5" x14ac:dyDescent="0.25">
      <c r="A3764" s="5">
        <f>3756</f>
      </c>
      <c r="B3764" s="5" t="s">
        <v>3135</v>
      </c>
      <c r="C3764" s="5" t="s">
        <v>11</v>
      </c>
      <c r="D3764" s="5" t="s">
        <v>12</v>
      </c>
      <c r="E3764" s="5" t="s">
        <v>2645</v>
      </c>
    </row>
    <row r="3765" spans="1:5" x14ac:dyDescent="0.25">
      <c r="A3765" s="5">
        <f>3757</f>
      </c>
      <c r="B3765" s="5" t="s">
        <v>3136</v>
      </c>
      <c r="C3765" s="5" t="s">
        <v>11</v>
      </c>
      <c r="D3765" s="5" t="s">
        <v>12</v>
      </c>
      <c r="E3765" s="5" t="s">
        <v>2645</v>
      </c>
    </row>
    <row r="3766" spans="1:5" x14ac:dyDescent="0.25">
      <c r="A3766" s="5">
        <f>3758</f>
      </c>
      <c r="B3766" s="5" t="s">
        <v>3136</v>
      </c>
      <c r="C3766" s="5" t="s">
        <v>11</v>
      </c>
      <c r="D3766" s="5" t="s">
        <v>12</v>
      </c>
      <c r="E3766" s="5" t="s">
        <v>2645</v>
      </c>
    </row>
    <row r="3767" spans="1:5" x14ac:dyDescent="0.25">
      <c r="A3767" s="5">
        <f>3759</f>
      </c>
      <c r="B3767" s="5" t="s">
        <v>3137</v>
      </c>
      <c r="C3767" s="5" t="s">
        <v>11</v>
      </c>
      <c r="D3767" s="5" t="s">
        <v>12</v>
      </c>
      <c r="E3767" s="5" t="s">
        <v>2645</v>
      </c>
    </row>
    <row r="3768" spans="1:5" x14ac:dyDescent="0.25">
      <c r="A3768" s="5">
        <f>3760</f>
      </c>
      <c r="B3768" s="5" t="s">
        <v>3137</v>
      </c>
      <c r="C3768" s="5" t="s">
        <v>11</v>
      </c>
      <c r="D3768" s="5" t="s">
        <v>12</v>
      </c>
      <c r="E3768" s="5" t="s">
        <v>2645</v>
      </c>
    </row>
    <row r="3769" spans="1:5" x14ac:dyDescent="0.25">
      <c r="A3769" s="5">
        <f>3761</f>
      </c>
      <c r="B3769" s="5" t="s">
        <v>3138</v>
      </c>
      <c r="C3769" s="5" t="s">
        <v>11</v>
      </c>
      <c r="D3769" s="5" t="s">
        <v>12</v>
      </c>
      <c r="E3769" s="5" t="s">
        <v>2645</v>
      </c>
    </row>
    <row r="3770" spans="1:5" x14ac:dyDescent="0.25">
      <c r="A3770" s="5">
        <f>3762</f>
      </c>
      <c r="B3770" s="5" t="s">
        <v>3138</v>
      </c>
      <c r="C3770" s="5" t="s">
        <v>11</v>
      </c>
      <c r="D3770" s="5" t="s">
        <v>12</v>
      </c>
      <c r="E3770" s="5" t="s">
        <v>2645</v>
      </c>
    </row>
    <row r="3771" spans="1:5" x14ac:dyDescent="0.25">
      <c r="A3771" s="5">
        <f>3763</f>
      </c>
      <c r="B3771" s="5" t="s">
        <v>3139</v>
      </c>
      <c r="C3771" s="5" t="s">
        <v>11</v>
      </c>
      <c r="D3771" s="5" t="s">
        <v>12</v>
      </c>
      <c r="E3771" s="5" t="s">
        <v>2645</v>
      </c>
    </row>
    <row r="3772" spans="1:5" x14ac:dyDescent="0.25">
      <c r="A3772" s="5">
        <f>3764</f>
      </c>
      <c r="B3772" s="5" t="s">
        <v>3139</v>
      </c>
      <c r="C3772" s="5" t="s">
        <v>11</v>
      </c>
      <c r="D3772" s="5" t="s">
        <v>12</v>
      </c>
      <c r="E3772" s="5" t="s">
        <v>2645</v>
      </c>
    </row>
    <row r="3773" spans="1:5" x14ac:dyDescent="0.25">
      <c r="A3773" s="5">
        <f>3765</f>
      </c>
      <c r="B3773" s="5" t="s">
        <v>3140</v>
      </c>
      <c r="C3773" s="5" t="s">
        <v>11</v>
      </c>
      <c r="D3773" s="5" t="s">
        <v>12</v>
      </c>
      <c r="E3773" s="5" t="s">
        <v>2645</v>
      </c>
    </row>
    <row r="3774" spans="1:5" x14ac:dyDescent="0.25">
      <c r="A3774" s="5">
        <f>3766</f>
      </c>
      <c r="B3774" s="5" t="s">
        <v>3140</v>
      </c>
      <c r="C3774" s="5" t="s">
        <v>11</v>
      </c>
      <c r="D3774" s="5" t="s">
        <v>12</v>
      </c>
      <c r="E3774" s="5" t="s">
        <v>2645</v>
      </c>
    </row>
    <row r="3775" spans="1:5" x14ac:dyDescent="0.25">
      <c r="A3775" s="5">
        <f>3767</f>
      </c>
      <c r="B3775" s="5" t="s">
        <v>3141</v>
      </c>
      <c r="C3775" s="5" t="s">
        <v>11</v>
      </c>
      <c r="D3775" s="5" t="s">
        <v>12</v>
      </c>
      <c r="E3775" s="5" t="s">
        <v>2645</v>
      </c>
    </row>
    <row r="3776" spans="1:5" x14ac:dyDescent="0.25">
      <c r="A3776" s="5">
        <f>3768</f>
      </c>
      <c r="B3776" s="5" t="s">
        <v>3141</v>
      </c>
      <c r="C3776" s="5" t="s">
        <v>11</v>
      </c>
      <c r="D3776" s="5" t="s">
        <v>12</v>
      </c>
      <c r="E3776" s="5" t="s">
        <v>2645</v>
      </c>
    </row>
    <row r="3777" spans="1:5" x14ac:dyDescent="0.25">
      <c r="A3777" s="5">
        <f>3769</f>
      </c>
      <c r="B3777" s="5" t="s">
        <v>3142</v>
      </c>
      <c r="C3777" s="5" t="s">
        <v>11</v>
      </c>
      <c r="D3777" s="5" t="s">
        <v>12</v>
      </c>
      <c r="E3777" s="5" t="s">
        <v>2645</v>
      </c>
    </row>
    <row r="3778" spans="1:5" x14ac:dyDescent="0.25">
      <c r="A3778" s="5">
        <f>3770</f>
      </c>
      <c r="B3778" s="5" t="s">
        <v>3142</v>
      </c>
      <c r="C3778" s="5" t="s">
        <v>11</v>
      </c>
      <c r="D3778" s="5" t="s">
        <v>12</v>
      </c>
      <c r="E3778" s="5" t="s">
        <v>2645</v>
      </c>
    </row>
    <row r="3779" spans="1:5" x14ac:dyDescent="0.25">
      <c r="A3779" s="5">
        <f>3771</f>
      </c>
      <c r="B3779" s="5" t="s">
        <v>3143</v>
      </c>
      <c r="C3779" s="5" t="s">
        <v>11</v>
      </c>
      <c r="D3779" s="5" t="s">
        <v>12</v>
      </c>
      <c r="E3779" s="5" t="s">
        <v>2645</v>
      </c>
    </row>
    <row r="3780" spans="1:5" x14ac:dyDescent="0.25">
      <c r="A3780" s="5">
        <f>3772</f>
      </c>
      <c r="B3780" s="5" t="s">
        <v>3143</v>
      </c>
      <c r="C3780" s="5" t="s">
        <v>11</v>
      </c>
      <c r="D3780" s="5" t="s">
        <v>12</v>
      </c>
      <c r="E3780" s="5" t="s">
        <v>2645</v>
      </c>
    </row>
    <row r="3781" spans="1:5" x14ac:dyDescent="0.25">
      <c r="A3781" s="5">
        <f>3773</f>
      </c>
      <c r="B3781" s="5" t="s">
        <v>3144</v>
      </c>
      <c r="C3781" s="5" t="s">
        <v>11</v>
      </c>
      <c r="D3781" s="5" t="s">
        <v>12</v>
      </c>
      <c r="E3781" s="5" t="s">
        <v>2645</v>
      </c>
    </row>
    <row r="3782" spans="1:5" x14ac:dyDescent="0.25">
      <c r="A3782" s="5">
        <f>3774</f>
      </c>
      <c r="B3782" s="5" t="s">
        <v>3144</v>
      </c>
      <c r="C3782" s="5" t="s">
        <v>11</v>
      </c>
      <c r="D3782" s="5" t="s">
        <v>12</v>
      </c>
      <c r="E3782" s="5" t="s">
        <v>2645</v>
      </c>
    </row>
    <row r="3783" spans="1:5" x14ac:dyDescent="0.25">
      <c r="A3783" s="5">
        <f>3775</f>
      </c>
      <c r="B3783" s="5" t="s">
        <v>3145</v>
      </c>
      <c r="C3783" s="5" t="s">
        <v>11</v>
      </c>
      <c r="D3783" s="5" t="s">
        <v>12</v>
      </c>
      <c r="E3783" s="5" t="s">
        <v>2645</v>
      </c>
    </row>
    <row r="3784" spans="1:5" x14ac:dyDescent="0.25">
      <c r="A3784" s="5">
        <f>3776</f>
      </c>
      <c r="B3784" s="5" t="s">
        <v>3145</v>
      </c>
      <c r="C3784" s="5" t="s">
        <v>11</v>
      </c>
      <c r="D3784" s="5" t="s">
        <v>12</v>
      </c>
      <c r="E3784" s="5" t="s">
        <v>2645</v>
      </c>
    </row>
    <row r="3785" spans="1:5" x14ac:dyDescent="0.25">
      <c r="A3785" s="5">
        <f>3777</f>
      </c>
      <c r="B3785" s="5" t="s">
        <v>3146</v>
      </c>
      <c r="C3785" s="5" t="s">
        <v>11</v>
      </c>
      <c r="D3785" s="5" t="s">
        <v>12</v>
      </c>
      <c r="E3785" s="5" t="s">
        <v>2645</v>
      </c>
    </row>
    <row r="3786" spans="1:5" x14ac:dyDescent="0.25">
      <c r="A3786" s="5">
        <f>3778</f>
      </c>
      <c r="B3786" s="5" t="s">
        <v>3146</v>
      </c>
      <c r="C3786" s="5" t="s">
        <v>11</v>
      </c>
      <c r="D3786" s="5" t="s">
        <v>12</v>
      </c>
      <c r="E3786" s="5" t="s">
        <v>2645</v>
      </c>
    </row>
    <row r="3787" spans="1:5" x14ac:dyDescent="0.25">
      <c r="A3787" s="5">
        <f>3779</f>
      </c>
      <c r="B3787" s="5" t="s">
        <v>3147</v>
      </c>
      <c r="C3787" s="5" t="s">
        <v>11</v>
      </c>
      <c r="D3787" s="5" t="s">
        <v>12</v>
      </c>
      <c r="E3787" s="5" t="s">
        <v>2645</v>
      </c>
    </row>
    <row r="3788" spans="1:5" x14ac:dyDescent="0.25">
      <c r="A3788" s="5">
        <f>3780</f>
      </c>
      <c r="B3788" s="5" t="s">
        <v>3147</v>
      </c>
      <c r="C3788" s="5" t="s">
        <v>11</v>
      </c>
      <c r="D3788" s="5" t="s">
        <v>12</v>
      </c>
      <c r="E3788" s="5" t="s">
        <v>2645</v>
      </c>
    </row>
    <row r="3789" spans="1:5" x14ac:dyDescent="0.25">
      <c r="A3789" s="5">
        <f>3781</f>
      </c>
      <c r="B3789" s="5" t="s">
        <v>3148</v>
      </c>
      <c r="C3789" s="5" t="s">
        <v>11</v>
      </c>
      <c r="D3789" s="5" t="s">
        <v>12</v>
      </c>
      <c r="E3789" s="5" t="s">
        <v>2645</v>
      </c>
    </row>
    <row r="3790" spans="1:5" x14ac:dyDescent="0.25">
      <c r="A3790" s="5">
        <f>3782</f>
      </c>
      <c r="B3790" s="5" t="s">
        <v>3148</v>
      </c>
      <c r="C3790" s="5" t="s">
        <v>11</v>
      </c>
      <c r="D3790" s="5" t="s">
        <v>12</v>
      </c>
      <c r="E3790" s="5" t="s">
        <v>2645</v>
      </c>
    </row>
    <row r="3791" spans="1:5" x14ac:dyDescent="0.25">
      <c r="A3791" s="5">
        <f>3783</f>
      </c>
      <c r="B3791" s="5" t="s">
        <v>3149</v>
      </c>
      <c r="C3791" s="5" t="s">
        <v>11</v>
      </c>
      <c r="D3791" s="5" t="s">
        <v>12</v>
      </c>
      <c r="E3791" s="5" t="s">
        <v>2645</v>
      </c>
    </row>
    <row r="3792" spans="1:5" x14ac:dyDescent="0.25">
      <c r="A3792" s="5">
        <f>3784</f>
      </c>
      <c r="B3792" s="5" t="s">
        <v>3149</v>
      </c>
      <c r="C3792" s="5" t="s">
        <v>11</v>
      </c>
      <c r="D3792" s="5" t="s">
        <v>12</v>
      </c>
      <c r="E3792" s="5" t="s">
        <v>2645</v>
      </c>
    </row>
    <row r="3793" spans="1:5" x14ac:dyDescent="0.25">
      <c r="A3793" s="5">
        <f>3785</f>
      </c>
      <c r="B3793" s="5" t="s">
        <v>3150</v>
      </c>
      <c r="C3793" s="5" t="s">
        <v>11</v>
      </c>
      <c r="D3793" s="5" t="s">
        <v>12</v>
      </c>
      <c r="E3793" s="5" t="s">
        <v>2645</v>
      </c>
    </row>
    <row r="3794" spans="1:5" x14ac:dyDescent="0.25">
      <c r="A3794" s="5">
        <f>3786</f>
      </c>
      <c r="B3794" s="5" t="s">
        <v>3150</v>
      </c>
      <c r="C3794" s="5" t="s">
        <v>11</v>
      </c>
      <c r="D3794" s="5" t="s">
        <v>12</v>
      </c>
      <c r="E3794" s="5" t="s">
        <v>2645</v>
      </c>
    </row>
    <row r="3795" spans="1:5" x14ac:dyDescent="0.25">
      <c r="A3795" s="5">
        <f>3787</f>
      </c>
      <c r="B3795" s="5" t="s">
        <v>3151</v>
      </c>
      <c r="C3795" s="5" t="s">
        <v>11</v>
      </c>
      <c r="D3795" s="5" t="s">
        <v>12</v>
      </c>
      <c r="E3795" s="5" t="s">
        <v>2645</v>
      </c>
    </row>
    <row r="3796" spans="1:5" x14ac:dyDescent="0.25">
      <c r="A3796" s="5">
        <f>3788</f>
      </c>
      <c r="B3796" s="5" t="s">
        <v>3151</v>
      </c>
      <c r="C3796" s="5" t="s">
        <v>11</v>
      </c>
      <c r="D3796" s="5" t="s">
        <v>12</v>
      </c>
      <c r="E3796" s="5" t="s">
        <v>2645</v>
      </c>
    </row>
    <row r="3797" spans="1:5" x14ac:dyDescent="0.25">
      <c r="A3797" s="5">
        <f>3789</f>
      </c>
      <c r="B3797" s="5" t="s">
        <v>3152</v>
      </c>
      <c r="C3797" s="5" t="s">
        <v>11</v>
      </c>
      <c r="D3797" s="5" t="s">
        <v>12</v>
      </c>
      <c r="E3797" s="5" t="s">
        <v>2645</v>
      </c>
    </row>
    <row r="3798" spans="1:5" x14ac:dyDescent="0.25">
      <c r="A3798" s="5">
        <f>3790</f>
      </c>
      <c r="B3798" s="5" t="s">
        <v>3152</v>
      </c>
      <c r="C3798" s="5" t="s">
        <v>11</v>
      </c>
      <c r="D3798" s="5" t="s">
        <v>12</v>
      </c>
      <c r="E3798" s="5" t="s">
        <v>2645</v>
      </c>
    </row>
    <row r="3799" spans="1:5" x14ac:dyDescent="0.25">
      <c r="A3799" s="5">
        <f>3791</f>
      </c>
      <c r="B3799" s="5" t="s">
        <v>3153</v>
      </c>
      <c r="C3799" s="5" t="s">
        <v>11</v>
      </c>
      <c r="D3799" s="5" t="s">
        <v>12</v>
      </c>
      <c r="E3799" s="5" t="s">
        <v>2645</v>
      </c>
    </row>
    <row r="3800" spans="1:5" x14ac:dyDescent="0.25">
      <c r="A3800" s="5">
        <f>3792</f>
      </c>
      <c r="B3800" s="5" t="s">
        <v>3153</v>
      </c>
      <c r="C3800" s="5" t="s">
        <v>11</v>
      </c>
      <c r="D3800" s="5" t="s">
        <v>12</v>
      </c>
      <c r="E3800" s="5" t="s">
        <v>2645</v>
      </c>
    </row>
    <row r="3801" spans="1:5" x14ac:dyDescent="0.25">
      <c r="A3801" s="5">
        <f>3793</f>
      </c>
      <c r="B3801" s="5" t="s">
        <v>3154</v>
      </c>
      <c r="C3801" s="5" t="s">
        <v>11</v>
      </c>
      <c r="D3801" s="5" t="s">
        <v>12</v>
      </c>
      <c r="E3801" s="5" t="s">
        <v>2645</v>
      </c>
    </row>
    <row r="3802" spans="1:5" x14ac:dyDescent="0.25">
      <c r="A3802" s="5">
        <f>3794</f>
      </c>
      <c r="B3802" s="5" t="s">
        <v>3154</v>
      </c>
      <c r="C3802" s="5" t="s">
        <v>11</v>
      </c>
      <c r="D3802" s="5" t="s">
        <v>12</v>
      </c>
      <c r="E3802" s="5" t="s">
        <v>2645</v>
      </c>
    </row>
    <row r="3803" spans="1:5" x14ac:dyDescent="0.25">
      <c r="A3803" s="5">
        <f>3795</f>
      </c>
      <c r="B3803" s="5" t="s">
        <v>3155</v>
      </c>
      <c r="C3803" s="5" t="s">
        <v>11</v>
      </c>
      <c r="D3803" s="5" t="s">
        <v>12</v>
      </c>
      <c r="E3803" s="5" t="s">
        <v>2645</v>
      </c>
    </row>
    <row r="3804" spans="1:5" x14ac:dyDescent="0.25">
      <c r="A3804" s="5">
        <f>3796</f>
      </c>
      <c r="B3804" s="5" t="s">
        <v>3155</v>
      </c>
      <c r="C3804" s="5" t="s">
        <v>11</v>
      </c>
      <c r="D3804" s="5" t="s">
        <v>12</v>
      </c>
      <c r="E3804" s="5" t="s">
        <v>2645</v>
      </c>
    </row>
    <row r="3805" spans="1:5" x14ac:dyDescent="0.25">
      <c r="A3805" s="5">
        <f>3797</f>
      </c>
      <c r="B3805" s="5" t="s">
        <v>3156</v>
      </c>
      <c r="C3805" s="5" t="s">
        <v>11</v>
      </c>
      <c r="D3805" s="5" t="s">
        <v>12</v>
      </c>
      <c r="E3805" s="5" t="s">
        <v>2645</v>
      </c>
    </row>
    <row r="3806" spans="1:5" x14ac:dyDescent="0.25">
      <c r="A3806" s="5">
        <f>3798</f>
      </c>
      <c r="B3806" s="5" t="s">
        <v>3156</v>
      </c>
      <c r="C3806" s="5" t="s">
        <v>11</v>
      </c>
      <c r="D3806" s="5" t="s">
        <v>12</v>
      </c>
      <c r="E3806" s="5" t="s">
        <v>2645</v>
      </c>
    </row>
    <row r="3807" spans="1:5" x14ac:dyDescent="0.25">
      <c r="A3807" s="5">
        <f>3799</f>
      </c>
      <c r="B3807" s="5" t="s">
        <v>3157</v>
      </c>
      <c r="C3807" s="5" t="s">
        <v>11</v>
      </c>
      <c r="D3807" s="5" t="s">
        <v>12</v>
      </c>
      <c r="E3807" s="5" t="s">
        <v>2645</v>
      </c>
    </row>
    <row r="3808" spans="1:5" x14ac:dyDescent="0.25">
      <c r="A3808" s="5">
        <f>3800</f>
      </c>
      <c r="B3808" s="5" t="s">
        <v>3157</v>
      </c>
      <c r="C3808" s="5" t="s">
        <v>11</v>
      </c>
      <c r="D3808" s="5" t="s">
        <v>12</v>
      </c>
      <c r="E3808" s="5" t="s">
        <v>2645</v>
      </c>
    </row>
    <row r="3809" spans="1:5" x14ac:dyDescent="0.25">
      <c r="A3809" s="5">
        <f>3801</f>
      </c>
      <c r="B3809" s="5" t="s">
        <v>3158</v>
      </c>
      <c r="C3809" s="5" t="s">
        <v>11</v>
      </c>
      <c r="D3809" s="5" t="s">
        <v>12</v>
      </c>
      <c r="E3809" s="5" t="s">
        <v>2645</v>
      </c>
    </row>
    <row r="3810" spans="1:5" x14ac:dyDescent="0.25">
      <c r="A3810" s="5">
        <f>3802</f>
      </c>
      <c r="B3810" s="5" t="s">
        <v>3158</v>
      </c>
      <c r="C3810" s="5" t="s">
        <v>11</v>
      </c>
      <c r="D3810" s="5" t="s">
        <v>12</v>
      </c>
      <c r="E3810" s="5" t="s">
        <v>2645</v>
      </c>
    </row>
    <row r="3811" spans="1:5" x14ac:dyDescent="0.25">
      <c r="A3811" s="5">
        <f>3803</f>
      </c>
      <c r="B3811" s="5" t="s">
        <v>3159</v>
      </c>
      <c r="C3811" s="5" t="s">
        <v>11</v>
      </c>
      <c r="D3811" s="5" t="s">
        <v>12</v>
      </c>
      <c r="E3811" s="5" t="s">
        <v>2645</v>
      </c>
    </row>
    <row r="3812" spans="1:5" x14ac:dyDescent="0.25">
      <c r="A3812" s="5">
        <f>3804</f>
      </c>
      <c r="B3812" s="5" t="s">
        <v>3159</v>
      </c>
      <c r="C3812" s="5" t="s">
        <v>11</v>
      </c>
      <c r="D3812" s="5" t="s">
        <v>12</v>
      </c>
      <c r="E3812" s="5" t="s">
        <v>2645</v>
      </c>
    </row>
    <row r="3813" spans="1:5" x14ac:dyDescent="0.25">
      <c r="A3813" s="5">
        <f>3805</f>
      </c>
      <c r="B3813" s="5" t="s">
        <v>3160</v>
      </c>
      <c r="C3813" s="5" t="s">
        <v>11</v>
      </c>
      <c r="D3813" s="5" t="s">
        <v>12</v>
      </c>
      <c r="E3813" s="5" t="s">
        <v>2645</v>
      </c>
    </row>
    <row r="3814" spans="1:5" x14ac:dyDescent="0.25">
      <c r="A3814" s="5">
        <f>3806</f>
      </c>
      <c r="B3814" s="5" t="s">
        <v>3160</v>
      </c>
      <c r="C3814" s="5" t="s">
        <v>11</v>
      </c>
      <c r="D3814" s="5" t="s">
        <v>12</v>
      </c>
      <c r="E3814" s="5" t="s">
        <v>2645</v>
      </c>
    </row>
    <row r="3815" spans="1:5" x14ac:dyDescent="0.25">
      <c r="A3815" s="5">
        <f>3807</f>
      </c>
      <c r="B3815" s="5" t="s">
        <v>3161</v>
      </c>
      <c r="C3815" s="5" t="s">
        <v>11</v>
      </c>
      <c r="D3815" s="5" t="s">
        <v>12</v>
      </c>
      <c r="E3815" s="5" t="s">
        <v>2648</v>
      </c>
    </row>
    <row r="3816" spans="1:5" x14ac:dyDescent="0.25">
      <c r="A3816" s="5">
        <f>3808</f>
      </c>
      <c r="B3816" s="5" t="s">
        <v>3161</v>
      </c>
      <c r="C3816" s="5" t="s">
        <v>11</v>
      </c>
      <c r="D3816" s="5" t="s">
        <v>12</v>
      </c>
      <c r="E3816" s="5" t="s">
        <v>2648</v>
      </c>
    </row>
    <row r="3817" spans="1:5" x14ac:dyDescent="0.25">
      <c r="A3817" s="5">
        <f>3809</f>
      </c>
      <c r="B3817" s="5" t="s">
        <v>3162</v>
      </c>
      <c r="C3817" s="5" t="s">
        <v>11</v>
      </c>
      <c r="D3817" s="5" t="s">
        <v>12</v>
      </c>
      <c r="E3817" s="5" t="s">
        <v>2648</v>
      </c>
    </row>
    <row r="3818" spans="1:5" x14ac:dyDescent="0.25">
      <c r="A3818" s="5">
        <f>3810</f>
      </c>
      <c r="B3818" s="5" t="s">
        <v>3162</v>
      </c>
      <c r="C3818" s="5" t="s">
        <v>11</v>
      </c>
      <c r="D3818" s="5" t="s">
        <v>12</v>
      </c>
      <c r="E3818" s="5" t="s">
        <v>2648</v>
      </c>
    </row>
    <row r="3819" spans="1:5" x14ac:dyDescent="0.25">
      <c r="A3819" s="5">
        <f>3811</f>
      </c>
      <c r="B3819" s="5" t="s">
        <v>3163</v>
      </c>
      <c r="C3819" s="5" t="s">
        <v>11</v>
      </c>
      <c r="D3819" s="5" t="s">
        <v>12</v>
      </c>
      <c r="E3819" s="5" t="s">
        <v>2648</v>
      </c>
    </row>
    <row r="3820" spans="1:5" x14ac:dyDescent="0.25">
      <c r="A3820" s="5">
        <f>3812</f>
      </c>
      <c r="B3820" s="5" t="s">
        <v>3163</v>
      </c>
      <c r="C3820" s="5" t="s">
        <v>11</v>
      </c>
      <c r="D3820" s="5" t="s">
        <v>12</v>
      </c>
      <c r="E3820" s="5" t="s">
        <v>2648</v>
      </c>
    </row>
    <row r="3821" spans="1:5" x14ac:dyDescent="0.25">
      <c r="A3821" s="5">
        <f>3813</f>
      </c>
      <c r="B3821" s="5" t="s">
        <v>3164</v>
      </c>
      <c r="C3821" s="5" t="s">
        <v>11</v>
      </c>
      <c r="D3821" s="5" t="s">
        <v>12</v>
      </c>
      <c r="E3821" s="5" t="s">
        <v>2648</v>
      </c>
    </row>
    <row r="3822" spans="1:5" x14ac:dyDescent="0.25">
      <c r="A3822" s="5">
        <f>3814</f>
      </c>
      <c r="B3822" s="5" t="s">
        <v>3164</v>
      </c>
      <c r="C3822" s="5" t="s">
        <v>11</v>
      </c>
      <c r="D3822" s="5" t="s">
        <v>12</v>
      </c>
      <c r="E3822" s="5" t="s">
        <v>2648</v>
      </c>
    </row>
    <row r="3823" spans="1:5" x14ac:dyDescent="0.25">
      <c r="A3823" s="5">
        <f>3815</f>
      </c>
      <c r="B3823" s="5" t="s">
        <v>3165</v>
      </c>
      <c r="C3823" s="5" t="s">
        <v>11</v>
      </c>
      <c r="D3823" s="5" t="s">
        <v>12</v>
      </c>
      <c r="E3823" s="5" t="s">
        <v>2648</v>
      </c>
    </row>
    <row r="3824" spans="1:5" x14ac:dyDescent="0.25">
      <c r="A3824" s="5">
        <f>3816</f>
      </c>
      <c r="B3824" s="5" t="s">
        <v>3165</v>
      </c>
      <c r="C3824" s="5" t="s">
        <v>11</v>
      </c>
      <c r="D3824" s="5" t="s">
        <v>12</v>
      </c>
      <c r="E3824" s="5" t="s">
        <v>2648</v>
      </c>
    </row>
    <row r="3825" spans="1:5" x14ac:dyDescent="0.25">
      <c r="A3825" s="5">
        <f>3817</f>
      </c>
      <c r="B3825" s="5" t="s">
        <v>3166</v>
      </c>
      <c r="C3825" s="5" t="s">
        <v>11</v>
      </c>
      <c r="D3825" s="5" t="s">
        <v>12</v>
      </c>
      <c r="E3825" s="5" t="s">
        <v>2648</v>
      </c>
    </row>
    <row r="3826" spans="1:5" x14ac:dyDescent="0.25">
      <c r="A3826" s="5">
        <f>3818</f>
      </c>
      <c r="B3826" s="5" t="s">
        <v>3166</v>
      </c>
      <c r="C3826" s="5" t="s">
        <v>11</v>
      </c>
      <c r="D3826" s="5" t="s">
        <v>12</v>
      </c>
      <c r="E3826" s="5" t="s">
        <v>2648</v>
      </c>
    </row>
    <row r="3827" spans="1:5" x14ac:dyDescent="0.25">
      <c r="A3827" s="5">
        <f>3819</f>
      </c>
      <c r="B3827" s="5" t="s">
        <v>3167</v>
      </c>
      <c r="C3827" s="5" t="s">
        <v>11</v>
      </c>
      <c r="D3827" s="5" t="s">
        <v>12</v>
      </c>
      <c r="E3827" s="5" t="s">
        <v>2648</v>
      </c>
    </row>
    <row r="3828" spans="1:5" x14ac:dyDescent="0.25">
      <c r="A3828" s="5">
        <f>3820</f>
      </c>
      <c r="B3828" s="5" t="s">
        <v>3167</v>
      </c>
      <c r="C3828" s="5" t="s">
        <v>11</v>
      </c>
      <c r="D3828" s="5" t="s">
        <v>12</v>
      </c>
      <c r="E3828" s="5" t="s">
        <v>2648</v>
      </c>
    </row>
    <row r="3829" spans="1:5" x14ac:dyDescent="0.25">
      <c r="A3829" s="5">
        <f>3821</f>
      </c>
      <c r="B3829" s="5" t="s">
        <v>3168</v>
      </c>
      <c r="C3829" s="5" t="s">
        <v>11</v>
      </c>
      <c r="D3829" s="5" t="s">
        <v>12</v>
      </c>
      <c r="E3829" s="5" t="s">
        <v>2648</v>
      </c>
    </row>
    <row r="3830" spans="1:5" x14ac:dyDescent="0.25">
      <c r="A3830" s="5">
        <f>3822</f>
      </c>
      <c r="B3830" s="5" t="s">
        <v>3168</v>
      </c>
      <c r="C3830" s="5" t="s">
        <v>11</v>
      </c>
      <c r="D3830" s="5" t="s">
        <v>12</v>
      </c>
      <c r="E3830" s="5" t="s">
        <v>2648</v>
      </c>
    </row>
    <row r="3831" spans="1:5" x14ac:dyDescent="0.25">
      <c r="A3831" s="5">
        <f>3823</f>
      </c>
      <c r="B3831" s="5" t="s">
        <v>3169</v>
      </c>
      <c r="C3831" s="5" t="s">
        <v>11</v>
      </c>
      <c r="D3831" s="5" t="s">
        <v>12</v>
      </c>
      <c r="E3831" s="5" t="s">
        <v>2648</v>
      </c>
    </row>
    <row r="3832" spans="1:5" x14ac:dyDescent="0.25">
      <c r="A3832" s="5">
        <f>3824</f>
      </c>
      <c r="B3832" s="5" t="s">
        <v>3169</v>
      </c>
      <c r="C3832" s="5" t="s">
        <v>11</v>
      </c>
      <c r="D3832" s="5" t="s">
        <v>12</v>
      </c>
      <c r="E3832" s="5" t="s">
        <v>2648</v>
      </c>
    </row>
    <row r="3833" spans="1:5" x14ac:dyDescent="0.25">
      <c r="A3833" s="5">
        <f>3825</f>
      </c>
      <c r="B3833" s="5" t="s">
        <v>3170</v>
      </c>
      <c r="C3833" s="5" t="s">
        <v>11</v>
      </c>
      <c r="D3833" s="5" t="s">
        <v>12</v>
      </c>
      <c r="E3833" s="5" t="s">
        <v>2648</v>
      </c>
    </row>
    <row r="3834" spans="1:5" x14ac:dyDescent="0.25">
      <c r="A3834" s="5">
        <f>3826</f>
      </c>
      <c r="B3834" s="5" t="s">
        <v>3170</v>
      </c>
      <c r="C3834" s="5" t="s">
        <v>11</v>
      </c>
      <c r="D3834" s="5" t="s">
        <v>12</v>
      </c>
      <c r="E3834" s="5" t="s">
        <v>2648</v>
      </c>
    </row>
    <row r="3835" spans="1:5" x14ac:dyDescent="0.25">
      <c r="A3835" s="5">
        <f>3827</f>
      </c>
      <c r="B3835" s="5" t="s">
        <v>3171</v>
      </c>
      <c r="C3835" s="5" t="s">
        <v>11</v>
      </c>
      <c r="D3835" s="5" t="s">
        <v>12</v>
      </c>
      <c r="E3835" s="5" t="s">
        <v>2648</v>
      </c>
    </row>
    <row r="3836" spans="1:5" x14ac:dyDescent="0.25">
      <c r="A3836" s="5">
        <f>3828</f>
      </c>
      <c r="B3836" s="5" t="s">
        <v>3171</v>
      </c>
      <c r="C3836" s="5" t="s">
        <v>11</v>
      </c>
      <c r="D3836" s="5" t="s">
        <v>12</v>
      </c>
      <c r="E3836" s="5" t="s">
        <v>2648</v>
      </c>
    </row>
    <row r="3837" spans="1:5" x14ac:dyDescent="0.25">
      <c r="A3837" s="5">
        <f>3829</f>
      </c>
      <c r="B3837" s="5" t="s">
        <v>3172</v>
      </c>
      <c r="C3837" s="5" t="s">
        <v>11</v>
      </c>
      <c r="D3837" s="5" t="s">
        <v>12</v>
      </c>
      <c r="E3837" s="5" t="s">
        <v>2648</v>
      </c>
    </row>
    <row r="3838" spans="1:5" x14ac:dyDescent="0.25">
      <c r="A3838" s="5">
        <f>3830</f>
      </c>
      <c r="B3838" s="5" t="s">
        <v>3172</v>
      </c>
      <c r="C3838" s="5" t="s">
        <v>11</v>
      </c>
      <c r="D3838" s="5" t="s">
        <v>12</v>
      </c>
      <c r="E3838" s="5" t="s">
        <v>2648</v>
      </c>
    </row>
    <row r="3839" spans="1:5" x14ac:dyDescent="0.25">
      <c r="A3839" s="5">
        <f>3831</f>
      </c>
      <c r="B3839" s="5" t="s">
        <v>3173</v>
      </c>
      <c r="C3839" s="5" t="s">
        <v>11</v>
      </c>
      <c r="D3839" s="5" t="s">
        <v>12</v>
      </c>
      <c r="E3839" s="5" t="s">
        <v>2648</v>
      </c>
    </row>
    <row r="3840" spans="1:5" x14ac:dyDescent="0.25">
      <c r="A3840" s="5">
        <f>3832</f>
      </c>
      <c r="B3840" s="5" t="s">
        <v>3173</v>
      </c>
      <c r="C3840" s="5" t="s">
        <v>11</v>
      </c>
      <c r="D3840" s="5" t="s">
        <v>12</v>
      </c>
      <c r="E3840" s="5" t="s">
        <v>2648</v>
      </c>
    </row>
    <row r="3841" spans="1:5" x14ac:dyDescent="0.25">
      <c r="A3841" s="5">
        <f>3833</f>
      </c>
      <c r="B3841" s="5" t="s">
        <v>3174</v>
      </c>
      <c r="C3841" s="5" t="s">
        <v>11</v>
      </c>
      <c r="D3841" s="5" t="s">
        <v>12</v>
      </c>
      <c r="E3841" s="5" t="s">
        <v>2648</v>
      </c>
    </row>
    <row r="3842" spans="1:5" x14ac:dyDescent="0.25">
      <c r="A3842" s="5">
        <f>3834</f>
      </c>
      <c r="B3842" s="5" t="s">
        <v>3174</v>
      </c>
      <c r="C3842" s="5" t="s">
        <v>11</v>
      </c>
      <c r="D3842" s="5" t="s">
        <v>12</v>
      </c>
      <c r="E3842" s="5" t="s">
        <v>2648</v>
      </c>
    </row>
    <row r="3843" spans="1:5" x14ac:dyDescent="0.25">
      <c r="A3843" s="5">
        <f>3835</f>
      </c>
      <c r="B3843" s="5" t="s">
        <v>3175</v>
      </c>
      <c r="C3843" s="5" t="s">
        <v>11</v>
      </c>
      <c r="D3843" s="5" t="s">
        <v>12</v>
      </c>
      <c r="E3843" s="5" t="s">
        <v>2648</v>
      </c>
    </row>
    <row r="3844" spans="1:5" x14ac:dyDescent="0.25">
      <c r="A3844" s="5">
        <f>3836</f>
      </c>
      <c r="B3844" s="5" t="s">
        <v>3175</v>
      </c>
      <c r="C3844" s="5" t="s">
        <v>11</v>
      </c>
      <c r="D3844" s="5" t="s">
        <v>12</v>
      </c>
      <c r="E3844" s="5" t="s">
        <v>2648</v>
      </c>
    </row>
    <row r="3845" spans="1:5" x14ac:dyDescent="0.25">
      <c r="A3845" s="5">
        <f>3837</f>
      </c>
      <c r="B3845" s="5" t="s">
        <v>3176</v>
      </c>
      <c r="C3845" s="5" t="s">
        <v>11</v>
      </c>
      <c r="D3845" s="5" t="s">
        <v>12</v>
      </c>
      <c r="E3845" s="5" t="s">
        <v>2648</v>
      </c>
    </row>
    <row r="3846" spans="1:5" x14ac:dyDescent="0.25">
      <c r="A3846" s="5">
        <f>3838</f>
      </c>
      <c r="B3846" s="5" t="s">
        <v>3176</v>
      </c>
      <c r="C3846" s="5" t="s">
        <v>11</v>
      </c>
      <c r="D3846" s="5" t="s">
        <v>12</v>
      </c>
      <c r="E3846" s="5" t="s">
        <v>2648</v>
      </c>
    </row>
    <row r="3847" spans="1:5" x14ac:dyDescent="0.25">
      <c r="A3847" s="5">
        <f>3839</f>
      </c>
      <c r="B3847" s="5" t="s">
        <v>3177</v>
      </c>
      <c r="C3847" s="5" t="s">
        <v>11</v>
      </c>
      <c r="D3847" s="5" t="s">
        <v>12</v>
      </c>
      <c r="E3847" s="5" t="s">
        <v>2648</v>
      </c>
    </row>
    <row r="3848" spans="1:5" x14ac:dyDescent="0.25">
      <c r="A3848" s="5">
        <f>3840</f>
      </c>
      <c r="B3848" s="5" t="s">
        <v>3177</v>
      </c>
      <c r="C3848" s="5" t="s">
        <v>11</v>
      </c>
      <c r="D3848" s="5" t="s">
        <v>12</v>
      </c>
      <c r="E3848" s="5" t="s">
        <v>2648</v>
      </c>
    </row>
    <row r="3849" spans="1:5" x14ac:dyDescent="0.25">
      <c r="A3849" s="5">
        <f>3841</f>
      </c>
      <c r="B3849" s="5" t="s">
        <v>3178</v>
      </c>
      <c r="C3849" s="5" t="s">
        <v>11</v>
      </c>
      <c r="D3849" s="5" t="s">
        <v>12</v>
      </c>
      <c r="E3849" s="5" t="s">
        <v>2648</v>
      </c>
    </row>
    <row r="3850" spans="1:5" x14ac:dyDescent="0.25">
      <c r="A3850" s="5">
        <f>3842</f>
      </c>
      <c r="B3850" s="5" t="s">
        <v>3178</v>
      </c>
      <c r="C3850" s="5" t="s">
        <v>11</v>
      </c>
      <c r="D3850" s="5" t="s">
        <v>12</v>
      </c>
      <c r="E3850" s="5" t="s">
        <v>2648</v>
      </c>
    </row>
    <row r="3851" spans="1:5" x14ac:dyDescent="0.25">
      <c r="A3851" s="5">
        <f>3843</f>
      </c>
      <c r="B3851" s="5" t="s">
        <v>3179</v>
      </c>
      <c r="C3851" s="5" t="s">
        <v>11</v>
      </c>
      <c r="D3851" s="5" t="s">
        <v>12</v>
      </c>
      <c r="E3851" s="5" t="s">
        <v>2648</v>
      </c>
    </row>
    <row r="3852" spans="1:5" x14ac:dyDescent="0.25">
      <c r="A3852" s="5">
        <f>3844</f>
      </c>
      <c r="B3852" s="5" t="s">
        <v>3179</v>
      </c>
      <c r="C3852" s="5" t="s">
        <v>11</v>
      </c>
      <c r="D3852" s="5" t="s">
        <v>12</v>
      </c>
      <c r="E3852" s="5" t="s">
        <v>2648</v>
      </c>
    </row>
    <row r="3853" spans="1:5" x14ac:dyDescent="0.25">
      <c r="A3853" s="5">
        <f>3845</f>
      </c>
      <c r="B3853" s="5" t="s">
        <v>3180</v>
      </c>
      <c r="C3853" s="5" t="s">
        <v>11</v>
      </c>
      <c r="D3853" s="5" t="s">
        <v>12</v>
      </c>
      <c r="E3853" s="5" t="s">
        <v>2648</v>
      </c>
    </row>
    <row r="3854" spans="1:5" x14ac:dyDescent="0.25">
      <c r="A3854" s="5">
        <f>3846</f>
      </c>
      <c r="B3854" s="5" t="s">
        <v>3180</v>
      </c>
      <c r="C3854" s="5" t="s">
        <v>11</v>
      </c>
      <c r="D3854" s="5" t="s">
        <v>12</v>
      </c>
      <c r="E3854" s="5" t="s">
        <v>2648</v>
      </c>
    </row>
    <row r="3855" spans="1:5" x14ac:dyDescent="0.25">
      <c r="A3855" s="5">
        <f>3847</f>
      </c>
      <c r="B3855" s="5" t="s">
        <v>3181</v>
      </c>
      <c r="C3855" s="5" t="s">
        <v>11</v>
      </c>
      <c r="D3855" s="5" t="s">
        <v>12</v>
      </c>
      <c r="E3855" s="5" t="s">
        <v>2648</v>
      </c>
    </row>
    <row r="3856" spans="1:5" x14ac:dyDescent="0.25">
      <c r="A3856" s="5">
        <f>3848</f>
      </c>
      <c r="B3856" s="5" t="s">
        <v>3181</v>
      </c>
      <c r="C3856" s="5" t="s">
        <v>11</v>
      </c>
      <c r="D3856" s="5" t="s">
        <v>12</v>
      </c>
      <c r="E3856" s="5" t="s">
        <v>2648</v>
      </c>
    </row>
    <row r="3857" spans="1:5" x14ac:dyDescent="0.25">
      <c r="A3857" s="5">
        <f>3849</f>
      </c>
      <c r="B3857" s="5" t="s">
        <v>3182</v>
      </c>
      <c r="C3857" s="5" t="s">
        <v>11</v>
      </c>
      <c r="D3857" s="5" t="s">
        <v>12</v>
      </c>
      <c r="E3857" s="5" t="s">
        <v>2648</v>
      </c>
    </row>
    <row r="3858" spans="1:5" x14ac:dyDescent="0.25">
      <c r="A3858" s="5">
        <f>3850</f>
      </c>
      <c r="B3858" s="5" t="s">
        <v>3182</v>
      </c>
      <c r="C3858" s="5" t="s">
        <v>11</v>
      </c>
      <c r="D3858" s="5" t="s">
        <v>12</v>
      </c>
      <c r="E3858" s="5" t="s">
        <v>2648</v>
      </c>
    </row>
    <row r="3859" spans="1:5" x14ac:dyDescent="0.25">
      <c r="A3859" s="5">
        <f>3851</f>
      </c>
      <c r="B3859" s="5" t="s">
        <v>3183</v>
      </c>
      <c r="C3859" s="5" t="s">
        <v>11</v>
      </c>
      <c r="D3859" s="5" t="s">
        <v>12</v>
      </c>
      <c r="E3859" s="5" t="s">
        <v>2648</v>
      </c>
    </row>
    <row r="3860" spans="1:5" x14ac:dyDescent="0.25">
      <c r="A3860" s="5">
        <f>3852</f>
      </c>
      <c r="B3860" s="5" t="s">
        <v>3183</v>
      </c>
      <c r="C3860" s="5" t="s">
        <v>11</v>
      </c>
      <c r="D3860" s="5" t="s">
        <v>12</v>
      </c>
      <c r="E3860" s="5" t="s">
        <v>2648</v>
      </c>
    </row>
    <row r="3861" spans="1:5" x14ac:dyDescent="0.25">
      <c r="A3861" s="5">
        <f>3853</f>
      </c>
      <c r="B3861" s="5" t="s">
        <v>3184</v>
      </c>
      <c r="C3861" s="5" t="s">
        <v>11</v>
      </c>
      <c r="D3861" s="5" t="s">
        <v>12</v>
      </c>
      <c r="E3861" s="5" t="s">
        <v>2648</v>
      </c>
    </row>
    <row r="3862" spans="1:5" x14ac:dyDescent="0.25">
      <c r="A3862" s="5">
        <f>3854</f>
      </c>
      <c r="B3862" s="5" t="s">
        <v>3184</v>
      </c>
      <c r="C3862" s="5" t="s">
        <v>11</v>
      </c>
      <c r="D3862" s="5" t="s">
        <v>12</v>
      </c>
      <c r="E3862" s="5" t="s">
        <v>2648</v>
      </c>
    </row>
    <row r="3863" spans="1:5" x14ac:dyDescent="0.25">
      <c r="A3863" s="5">
        <f>3855</f>
      </c>
      <c r="B3863" s="5" t="s">
        <v>3185</v>
      </c>
      <c r="C3863" s="5" t="s">
        <v>11</v>
      </c>
      <c r="D3863" s="5" t="s">
        <v>12</v>
      </c>
      <c r="E3863" s="5" t="s">
        <v>2648</v>
      </c>
    </row>
    <row r="3864" spans="1:5" x14ac:dyDescent="0.25">
      <c r="A3864" s="5">
        <f>3856</f>
      </c>
      <c r="B3864" s="5" t="s">
        <v>3185</v>
      </c>
      <c r="C3864" s="5" t="s">
        <v>11</v>
      </c>
      <c r="D3864" s="5" t="s">
        <v>12</v>
      </c>
      <c r="E3864" s="5" t="s">
        <v>2648</v>
      </c>
    </row>
    <row r="3865" spans="1:5" x14ac:dyDescent="0.25">
      <c r="A3865" s="5">
        <f>3857</f>
      </c>
      <c r="B3865" s="5" t="s">
        <v>3186</v>
      </c>
      <c r="C3865" s="5" t="s">
        <v>11</v>
      </c>
      <c r="D3865" s="5" t="s">
        <v>12</v>
      </c>
      <c r="E3865" s="5" t="s">
        <v>2648</v>
      </c>
    </row>
    <row r="3866" spans="1:5" x14ac:dyDescent="0.25">
      <c r="A3866" s="5">
        <f>3858</f>
      </c>
      <c r="B3866" s="5" t="s">
        <v>3186</v>
      </c>
      <c r="C3866" s="5" t="s">
        <v>11</v>
      </c>
      <c r="D3866" s="5" t="s">
        <v>12</v>
      </c>
      <c r="E3866" s="5" t="s">
        <v>2648</v>
      </c>
    </row>
    <row r="3867" spans="1:5" x14ac:dyDescent="0.25">
      <c r="A3867" s="5">
        <f>3859</f>
      </c>
      <c r="B3867" s="5" t="s">
        <v>3187</v>
      </c>
      <c r="C3867" s="5" t="s">
        <v>11</v>
      </c>
      <c r="D3867" s="5" t="s">
        <v>12</v>
      </c>
      <c r="E3867" s="5" t="s">
        <v>2648</v>
      </c>
    </row>
    <row r="3868" spans="1:5" x14ac:dyDescent="0.25">
      <c r="A3868" s="5">
        <f>3860</f>
      </c>
      <c r="B3868" s="5" t="s">
        <v>3187</v>
      </c>
      <c r="C3868" s="5" t="s">
        <v>11</v>
      </c>
      <c r="D3868" s="5" t="s">
        <v>12</v>
      </c>
      <c r="E3868" s="5" t="s">
        <v>2648</v>
      </c>
    </row>
    <row r="3869" spans="1:5" x14ac:dyDescent="0.25">
      <c r="A3869" s="5">
        <f>3861</f>
      </c>
      <c r="B3869" s="5" t="s">
        <v>3188</v>
      </c>
      <c r="C3869" s="5" t="s">
        <v>11</v>
      </c>
      <c r="D3869" s="5" t="s">
        <v>12</v>
      </c>
      <c r="E3869" s="5" t="s">
        <v>2648</v>
      </c>
    </row>
    <row r="3870" spans="1:5" x14ac:dyDescent="0.25">
      <c r="A3870" s="5">
        <f>3862</f>
      </c>
      <c r="B3870" s="5" t="s">
        <v>3188</v>
      </c>
      <c r="C3870" s="5" t="s">
        <v>11</v>
      </c>
      <c r="D3870" s="5" t="s">
        <v>12</v>
      </c>
      <c r="E3870" s="5" t="s">
        <v>2648</v>
      </c>
    </row>
    <row r="3871" spans="1:5" x14ac:dyDescent="0.25">
      <c r="A3871" s="5">
        <f>3863</f>
      </c>
      <c r="B3871" s="5" t="s">
        <v>3189</v>
      </c>
      <c r="C3871" s="5" t="s">
        <v>11</v>
      </c>
      <c r="D3871" s="5" t="s">
        <v>12</v>
      </c>
      <c r="E3871" s="5" t="s">
        <v>2648</v>
      </c>
    </row>
    <row r="3872" spans="1:5" x14ac:dyDescent="0.25">
      <c r="A3872" s="5">
        <f>3864</f>
      </c>
      <c r="B3872" s="5" t="s">
        <v>3189</v>
      </c>
      <c r="C3872" s="5" t="s">
        <v>11</v>
      </c>
      <c r="D3872" s="5" t="s">
        <v>12</v>
      </c>
      <c r="E3872" s="5" t="s">
        <v>2648</v>
      </c>
    </row>
    <row r="3873" spans="1:5" x14ac:dyDescent="0.25">
      <c r="A3873" s="5">
        <f>3865</f>
      </c>
      <c r="B3873" s="5" t="s">
        <v>3190</v>
      </c>
      <c r="C3873" s="5" t="s">
        <v>11</v>
      </c>
      <c r="D3873" s="5" t="s">
        <v>12</v>
      </c>
      <c r="E3873" s="5" t="s">
        <v>2648</v>
      </c>
    </row>
    <row r="3874" spans="1:5" x14ac:dyDescent="0.25">
      <c r="A3874" s="5">
        <f>3866</f>
      </c>
      <c r="B3874" s="5" t="s">
        <v>3190</v>
      </c>
      <c r="C3874" s="5" t="s">
        <v>11</v>
      </c>
      <c r="D3874" s="5" t="s">
        <v>12</v>
      </c>
      <c r="E3874" s="5" t="s">
        <v>2648</v>
      </c>
    </row>
    <row r="3875" spans="1:5" x14ac:dyDescent="0.25">
      <c r="A3875" s="5">
        <f>3867</f>
      </c>
      <c r="B3875" s="5" t="s">
        <v>3191</v>
      </c>
      <c r="C3875" s="5" t="s">
        <v>11</v>
      </c>
      <c r="D3875" s="5" t="s">
        <v>12</v>
      </c>
      <c r="E3875" s="5" t="s">
        <v>2648</v>
      </c>
    </row>
    <row r="3876" spans="1:5" x14ac:dyDescent="0.25">
      <c r="A3876" s="5">
        <f>3868</f>
      </c>
      <c r="B3876" s="5" t="s">
        <v>3191</v>
      </c>
      <c r="C3876" s="5" t="s">
        <v>11</v>
      </c>
      <c r="D3876" s="5" t="s">
        <v>12</v>
      </c>
      <c r="E3876" s="5" t="s">
        <v>2648</v>
      </c>
    </row>
    <row r="3877" spans="1:5" x14ac:dyDescent="0.25">
      <c r="A3877" s="5">
        <f>3869</f>
      </c>
      <c r="B3877" s="5" t="s">
        <v>3192</v>
      </c>
      <c r="C3877" s="5" t="s">
        <v>11</v>
      </c>
      <c r="D3877" s="5" t="s">
        <v>12</v>
      </c>
      <c r="E3877" s="5" t="s">
        <v>2648</v>
      </c>
    </row>
    <row r="3878" spans="1:5" x14ac:dyDescent="0.25">
      <c r="A3878" s="5">
        <f>3870</f>
      </c>
      <c r="B3878" s="5" t="s">
        <v>3192</v>
      </c>
      <c r="C3878" s="5" t="s">
        <v>11</v>
      </c>
      <c r="D3878" s="5" t="s">
        <v>12</v>
      </c>
      <c r="E3878" s="5" t="s">
        <v>2648</v>
      </c>
    </row>
    <row r="3879" spans="1:5" x14ac:dyDescent="0.25">
      <c r="A3879" s="5">
        <f>3871</f>
      </c>
      <c r="B3879" s="5" t="s">
        <v>3193</v>
      </c>
      <c r="C3879" s="5" t="s">
        <v>11</v>
      </c>
      <c r="D3879" s="5" t="s">
        <v>12</v>
      </c>
      <c r="E3879" s="5" t="s">
        <v>2648</v>
      </c>
    </row>
    <row r="3880" spans="1:5" x14ac:dyDescent="0.25">
      <c r="A3880" s="5">
        <f>3872</f>
      </c>
      <c r="B3880" s="5" t="s">
        <v>3193</v>
      </c>
      <c r="C3880" s="5" t="s">
        <v>11</v>
      </c>
      <c r="D3880" s="5" t="s">
        <v>12</v>
      </c>
      <c r="E3880" s="5" t="s">
        <v>2648</v>
      </c>
    </row>
    <row r="3881" spans="1:5" x14ac:dyDescent="0.25">
      <c r="A3881" s="5">
        <f>3873</f>
      </c>
      <c r="B3881" s="5" t="s">
        <v>3194</v>
      </c>
      <c r="C3881" s="5" t="s">
        <v>11</v>
      </c>
      <c r="D3881" s="5" t="s">
        <v>12</v>
      </c>
      <c r="E3881" s="5" t="s">
        <v>2648</v>
      </c>
    </row>
    <row r="3882" spans="1:5" x14ac:dyDescent="0.25">
      <c r="A3882" s="5">
        <f>3874</f>
      </c>
      <c r="B3882" s="5" t="s">
        <v>3194</v>
      </c>
      <c r="C3882" s="5" t="s">
        <v>11</v>
      </c>
      <c r="D3882" s="5" t="s">
        <v>12</v>
      </c>
      <c r="E3882" s="5" t="s">
        <v>2648</v>
      </c>
    </row>
    <row r="3883" spans="1:5" x14ac:dyDescent="0.25">
      <c r="A3883" s="5">
        <f>3875</f>
      </c>
      <c r="B3883" s="5" t="s">
        <v>3195</v>
      </c>
      <c r="C3883" s="5" t="s">
        <v>11</v>
      </c>
      <c r="D3883" s="5" t="s">
        <v>12</v>
      </c>
      <c r="E3883" s="5" t="s">
        <v>2648</v>
      </c>
    </row>
    <row r="3884" spans="1:5" x14ac:dyDescent="0.25">
      <c r="A3884" s="5">
        <f>3876</f>
      </c>
      <c r="B3884" s="5" t="s">
        <v>3195</v>
      </c>
      <c r="C3884" s="5" t="s">
        <v>11</v>
      </c>
      <c r="D3884" s="5" t="s">
        <v>12</v>
      </c>
      <c r="E3884" s="5" t="s">
        <v>2648</v>
      </c>
    </row>
    <row r="3885" spans="1:5" x14ac:dyDescent="0.25">
      <c r="A3885" s="5">
        <f>3877</f>
      </c>
      <c r="B3885" s="5" t="s">
        <v>3196</v>
      </c>
      <c r="C3885" s="5" t="s">
        <v>11</v>
      </c>
      <c r="D3885" s="5" t="s">
        <v>12</v>
      </c>
      <c r="E3885" s="5" t="s">
        <v>2648</v>
      </c>
    </row>
    <row r="3886" spans="1:5" x14ac:dyDescent="0.25">
      <c r="A3886" s="5">
        <f>3878</f>
      </c>
      <c r="B3886" s="5" t="s">
        <v>3196</v>
      </c>
      <c r="C3886" s="5" t="s">
        <v>11</v>
      </c>
      <c r="D3886" s="5" t="s">
        <v>12</v>
      </c>
      <c r="E3886" s="5" t="s">
        <v>2648</v>
      </c>
    </row>
    <row r="3887" spans="1:5" x14ac:dyDescent="0.25">
      <c r="A3887" s="5">
        <f>3879</f>
      </c>
      <c r="B3887" s="5" t="s">
        <v>3197</v>
      </c>
      <c r="C3887" s="5" t="s">
        <v>11</v>
      </c>
      <c r="D3887" s="5" t="s">
        <v>12</v>
      </c>
      <c r="E3887" s="5" t="s">
        <v>2648</v>
      </c>
    </row>
    <row r="3888" spans="1:5" x14ac:dyDescent="0.25">
      <c r="A3888" s="5">
        <f>3880</f>
      </c>
      <c r="B3888" s="5" t="s">
        <v>3197</v>
      </c>
      <c r="C3888" s="5" t="s">
        <v>11</v>
      </c>
      <c r="D3888" s="5" t="s">
        <v>12</v>
      </c>
      <c r="E3888" s="5" t="s">
        <v>2648</v>
      </c>
    </row>
    <row r="3889" spans="1:5" x14ac:dyDescent="0.25">
      <c r="A3889" s="5">
        <f>3881</f>
      </c>
      <c r="B3889" s="5" t="s">
        <v>3198</v>
      </c>
      <c r="C3889" s="5" t="s">
        <v>11</v>
      </c>
      <c r="D3889" s="5" t="s">
        <v>12</v>
      </c>
      <c r="E3889" s="5" t="s">
        <v>2648</v>
      </c>
    </row>
    <row r="3890" spans="1:5" x14ac:dyDescent="0.25">
      <c r="A3890" s="5">
        <f>3882</f>
      </c>
      <c r="B3890" s="5" t="s">
        <v>3198</v>
      </c>
      <c r="C3890" s="5" t="s">
        <v>11</v>
      </c>
      <c r="D3890" s="5" t="s">
        <v>12</v>
      </c>
      <c r="E3890" s="5" t="s">
        <v>2648</v>
      </c>
    </row>
    <row r="3891" spans="1:5" x14ac:dyDescent="0.25">
      <c r="A3891" s="5">
        <f>3883</f>
      </c>
      <c r="B3891" s="5" t="s">
        <v>3199</v>
      </c>
      <c r="C3891" s="5" t="s">
        <v>11</v>
      </c>
      <c r="D3891" s="5" t="s">
        <v>12</v>
      </c>
      <c r="E3891" s="5" t="s">
        <v>2648</v>
      </c>
    </row>
    <row r="3892" spans="1:5" x14ac:dyDescent="0.25">
      <c r="A3892" s="5">
        <f>3884</f>
      </c>
      <c r="B3892" s="5" t="s">
        <v>3199</v>
      </c>
      <c r="C3892" s="5" t="s">
        <v>11</v>
      </c>
      <c r="D3892" s="5" t="s">
        <v>12</v>
      </c>
      <c r="E3892" s="5" t="s">
        <v>2648</v>
      </c>
    </row>
    <row r="3893" spans="1:5" x14ac:dyDescent="0.25">
      <c r="A3893" s="5">
        <f>3885</f>
      </c>
      <c r="B3893" s="5" t="s">
        <v>3200</v>
      </c>
      <c r="C3893" s="5" t="s">
        <v>11</v>
      </c>
      <c r="D3893" s="5" t="s">
        <v>12</v>
      </c>
      <c r="E3893" s="5" t="s">
        <v>2648</v>
      </c>
    </row>
    <row r="3894" spans="1:5" x14ac:dyDescent="0.25">
      <c r="A3894" s="5">
        <f>3886</f>
      </c>
      <c r="B3894" s="5" t="s">
        <v>3200</v>
      </c>
      <c r="C3894" s="5" t="s">
        <v>11</v>
      </c>
      <c r="D3894" s="5" t="s">
        <v>12</v>
      </c>
      <c r="E3894" s="5" t="s">
        <v>2648</v>
      </c>
    </row>
    <row r="3895" spans="1:5" x14ac:dyDescent="0.25">
      <c r="A3895" s="5">
        <f>3887</f>
      </c>
      <c r="B3895" s="5" t="s">
        <v>3201</v>
      </c>
      <c r="C3895" s="5" t="s">
        <v>11</v>
      </c>
      <c r="D3895" s="5" t="s">
        <v>12</v>
      </c>
      <c r="E3895" s="5" t="s">
        <v>2648</v>
      </c>
    </row>
    <row r="3896" spans="1:5" x14ac:dyDescent="0.25">
      <c r="A3896" s="5">
        <f>3888</f>
      </c>
      <c r="B3896" s="5" t="s">
        <v>3201</v>
      </c>
      <c r="C3896" s="5" t="s">
        <v>11</v>
      </c>
      <c r="D3896" s="5" t="s">
        <v>12</v>
      </c>
      <c r="E3896" s="5" t="s">
        <v>2648</v>
      </c>
    </row>
    <row r="3897" spans="1:5" x14ac:dyDescent="0.25">
      <c r="A3897" s="5">
        <f>3889</f>
      </c>
      <c r="B3897" s="5" t="s">
        <v>3202</v>
      </c>
      <c r="C3897" s="5" t="s">
        <v>11</v>
      </c>
      <c r="D3897" s="5" t="s">
        <v>12</v>
      </c>
      <c r="E3897" s="5" t="s">
        <v>2648</v>
      </c>
    </row>
    <row r="3898" spans="1:5" x14ac:dyDescent="0.25">
      <c r="A3898" s="5">
        <f>3890</f>
      </c>
      <c r="B3898" s="5" t="s">
        <v>3202</v>
      </c>
      <c r="C3898" s="5" t="s">
        <v>11</v>
      </c>
      <c r="D3898" s="5" t="s">
        <v>12</v>
      </c>
      <c r="E3898" s="5" t="s">
        <v>2648</v>
      </c>
    </row>
    <row r="3899" spans="1:5" x14ac:dyDescent="0.25">
      <c r="A3899" s="5">
        <f>3891</f>
      </c>
      <c r="B3899" s="5" t="s">
        <v>3203</v>
      </c>
      <c r="C3899" s="5" t="s">
        <v>11</v>
      </c>
      <c r="D3899" s="5" t="s">
        <v>12</v>
      </c>
      <c r="E3899" s="5" t="s">
        <v>2648</v>
      </c>
    </row>
    <row r="3900" spans="1:5" x14ac:dyDescent="0.25">
      <c r="A3900" s="5">
        <f>3892</f>
      </c>
      <c r="B3900" s="5" t="s">
        <v>3203</v>
      </c>
      <c r="C3900" s="5" t="s">
        <v>11</v>
      </c>
      <c r="D3900" s="5" t="s">
        <v>12</v>
      </c>
      <c r="E3900" s="5" t="s">
        <v>2648</v>
      </c>
    </row>
    <row r="3901" spans="1:5" x14ac:dyDescent="0.25">
      <c r="A3901" s="5">
        <f>3893</f>
      </c>
      <c r="B3901" s="5" t="s">
        <v>3204</v>
      </c>
      <c r="C3901" s="5" t="s">
        <v>11</v>
      </c>
      <c r="D3901" s="5" t="s">
        <v>12</v>
      </c>
      <c r="E3901" s="5" t="s">
        <v>2648</v>
      </c>
    </row>
    <row r="3902" spans="1:5" x14ac:dyDescent="0.25">
      <c r="A3902" s="5">
        <f>3894</f>
      </c>
      <c r="B3902" s="5" t="s">
        <v>3204</v>
      </c>
      <c r="C3902" s="5" t="s">
        <v>11</v>
      </c>
      <c r="D3902" s="5" t="s">
        <v>12</v>
      </c>
      <c r="E3902" s="5" t="s">
        <v>2648</v>
      </c>
    </row>
    <row r="3903" spans="1:5" x14ac:dyDescent="0.25">
      <c r="A3903" s="5">
        <f>3895</f>
      </c>
      <c r="B3903" s="5" t="s">
        <v>3205</v>
      </c>
      <c r="C3903" s="5" t="s">
        <v>11</v>
      </c>
      <c r="D3903" s="5" t="s">
        <v>12</v>
      </c>
      <c r="E3903" s="5" t="s">
        <v>2648</v>
      </c>
    </row>
    <row r="3904" spans="1:5" x14ac:dyDescent="0.25">
      <c r="A3904" s="5">
        <f>3896</f>
      </c>
      <c r="B3904" s="5" t="s">
        <v>3205</v>
      </c>
      <c r="C3904" s="5" t="s">
        <v>11</v>
      </c>
      <c r="D3904" s="5" t="s">
        <v>12</v>
      </c>
      <c r="E3904" s="5" t="s">
        <v>2648</v>
      </c>
    </row>
    <row r="3905" spans="1:5" x14ac:dyDescent="0.25">
      <c r="A3905" s="5">
        <f>3897</f>
      </c>
      <c r="B3905" s="5" t="s">
        <v>3206</v>
      </c>
      <c r="C3905" s="5" t="s">
        <v>11</v>
      </c>
      <c r="D3905" s="5" t="s">
        <v>12</v>
      </c>
      <c r="E3905" s="5" t="s">
        <v>2648</v>
      </c>
    </row>
    <row r="3906" spans="1:5" x14ac:dyDescent="0.25">
      <c r="A3906" s="5">
        <f>3898</f>
      </c>
      <c r="B3906" s="5" t="s">
        <v>3206</v>
      </c>
      <c r="C3906" s="5" t="s">
        <v>11</v>
      </c>
      <c r="D3906" s="5" t="s">
        <v>12</v>
      </c>
      <c r="E3906" s="5" t="s">
        <v>2648</v>
      </c>
    </row>
    <row r="3907" spans="1:5" x14ac:dyDescent="0.25">
      <c r="A3907" s="5">
        <f>3899</f>
      </c>
      <c r="B3907" s="5" t="s">
        <v>3207</v>
      </c>
      <c r="C3907" s="5" t="s">
        <v>11</v>
      </c>
      <c r="D3907" s="5" t="s">
        <v>12</v>
      </c>
      <c r="E3907" s="5" t="s">
        <v>2648</v>
      </c>
    </row>
    <row r="3908" spans="1:5" x14ac:dyDescent="0.25">
      <c r="A3908" s="5">
        <f>3900</f>
      </c>
      <c r="B3908" s="5" t="s">
        <v>3207</v>
      </c>
      <c r="C3908" s="5" t="s">
        <v>11</v>
      </c>
      <c r="D3908" s="5" t="s">
        <v>12</v>
      </c>
      <c r="E3908" s="5" t="s">
        <v>2648</v>
      </c>
    </row>
    <row r="3909" spans="1:5" x14ac:dyDescent="0.25">
      <c r="A3909" s="5">
        <f>3901</f>
      </c>
      <c r="B3909" s="5" t="s">
        <v>3208</v>
      </c>
      <c r="C3909" s="5" t="s">
        <v>11</v>
      </c>
      <c r="D3909" s="5" t="s">
        <v>12</v>
      </c>
      <c r="E3909" s="5" t="s">
        <v>2648</v>
      </c>
    </row>
    <row r="3910" spans="1:5" x14ac:dyDescent="0.25">
      <c r="A3910" s="5">
        <f>3902</f>
      </c>
      <c r="B3910" s="5" t="s">
        <v>3208</v>
      </c>
      <c r="C3910" s="5" t="s">
        <v>11</v>
      </c>
      <c r="D3910" s="5" t="s">
        <v>12</v>
      </c>
      <c r="E3910" s="5" t="s">
        <v>2648</v>
      </c>
    </row>
    <row r="3911" spans="1:5" x14ac:dyDescent="0.25">
      <c r="A3911" s="5">
        <f>3903</f>
      </c>
      <c r="B3911" s="5" t="s">
        <v>3209</v>
      </c>
      <c r="C3911" s="5" t="s">
        <v>11</v>
      </c>
      <c r="D3911" s="5" t="s">
        <v>12</v>
      </c>
      <c r="E3911" s="5" t="s">
        <v>2648</v>
      </c>
    </row>
    <row r="3912" spans="1:5" x14ac:dyDescent="0.25">
      <c r="A3912" s="5">
        <f>3904</f>
      </c>
      <c r="B3912" s="5" t="s">
        <v>3209</v>
      </c>
      <c r="C3912" s="5" t="s">
        <v>11</v>
      </c>
      <c r="D3912" s="5" t="s">
        <v>12</v>
      </c>
      <c r="E3912" s="5" t="s">
        <v>2648</v>
      </c>
    </row>
    <row r="3913" spans="1:5" x14ac:dyDescent="0.25">
      <c r="A3913" s="5">
        <f>3905</f>
      </c>
      <c r="B3913" s="5" t="s">
        <v>3210</v>
      </c>
      <c r="C3913" s="5" t="s">
        <v>11</v>
      </c>
      <c r="D3913" s="5" t="s">
        <v>12</v>
      </c>
      <c r="E3913" s="5" t="s">
        <v>2648</v>
      </c>
    </row>
    <row r="3914" spans="1:5" x14ac:dyDescent="0.25">
      <c r="A3914" s="5">
        <f>3906</f>
      </c>
      <c r="B3914" s="5" t="s">
        <v>3210</v>
      </c>
      <c r="C3914" s="5" t="s">
        <v>11</v>
      </c>
      <c r="D3914" s="5" t="s">
        <v>12</v>
      </c>
      <c r="E3914" s="5" t="s">
        <v>2648</v>
      </c>
    </row>
    <row r="3915" spans="1:5" x14ac:dyDescent="0.25">
      <c r="A3915" s="5">
        <f>3907</f>
      </c>
      <c r="B3915" s="5" t="s">
        <v>3211</v>
      </c>
      <c r="C3915" s="5" t="s">
        <v>11</v>
      </c>
      <c r="D3915" s="5" t="s">
        <v>12</v>
      </c>
      <c r="E3915" s="5" t="s">
        <v>2648</v>
      </c>
    </row>
    <row r="3916" spans="1:5" x14ac:dyDescent="0.25">
      <c r="A3916" s="5">
        <f>3908</f>
      </c>
      <c r="B3916" s="5" t="s">
        <v>3211</v>
      </c>
      <c r="C3916" s="5" t="s">
        <v>11</v>
      </c>
      <c r="D3916" s="5" t="s">
        <v>12</v>
      </c>
      <c r="E3916" s="5" t="s">
        <v>2648</v>
      </c>
    </row>
    <row r="3917" spans="1:5" x14ac:dyDescent="0.25">
      <c r="A3917" s="5">
        <f>3909</f>
      </c>
      <c r="B3917" s="5" t="s">
        <v>3212</v>
      </c>
      <c r="C3917" s="5" t="s">
        <v>11</v>
      </c>
      <c r="D3917" s="5" t="s">
        <v>12</v>
      </c>
      <c r="E3917" s="5" t="s">
        <v>2648</v>
      </c>
    </row>
    <row r="3918" spans="1:5" x14ac:dyDescent="0.25">
      <c r="A3918" s="5">
        <f>3910</f>
      </c>
      <c r="B3918" s="5" t="s">
        <v>3212</v>
      </c>
      <c r="C3918" s="5" t="s">
        <v>11</v>
      </c>
      <c r="D3918" s="5" t="s">
        <v>12</v>
      </c>
      <c r="E3918" s="5" t="s">
        <v>2648</v>
      </c>
    </row>
    <row r="3919" spans="1:5" x14ac:dyDescent="0.25">
      <c r="A3919" s="5">
        <f>3911</f>
      </c>
      <c r="B3919" s="5" t="s">
        <v>3213</v>
      </c>
      <c r="C3919" s="5" t="s">
        <v>11</v>
      </c>
      <c r="D3919" s="5" t="s">
        <v>12</v>
      </c>
      <c r="E3919" s="5" t="s">
        <v>2648</v>
      </c>
    </row>
    <row r="3920" spans="1:5" x14ac:dyDescent="0.25">
      <c r="A3920" s="5">
        <f>3912</f>
      </c>
      <c r="B3920" s="5" t="s">
        <v>3213</v>
      </c>
      <c r="C3920" s="5" t="s">
        <v>11</v>
      </c>
      <c r="D3920" s="5" t="s">
        <v>12</v>
      </c>
      <c r="E3920" s="5" t="s">
        <v>2648</v>
      </c>
    </row>
    <row r="3921" spans="1:5" x14ac:dyDescent="0.25">
      <c r="A3921" s="5">
        <f>3913</f>
      </c>
      <c r="B3921" s="5" t="s">
        <v>3214</v>
      </c>
      <c r="C3921" s="5" t="s">
        <v>11</v>
      </c>
      <c r="D3921" s="5" t="s">
        <v>12</v>
      </c>
      <c r="E3921" s="5" t="s">
        <v>2648</v>
      </c>
    </row>
    <row r="3922" spans="1:5" x14ac:dyDescent="0.25">
      <c r="A3922" s="5">
        <f>3914</f>
      </c>
      <c r="B3922" s="5" t="s">
        <v>3214</v>
      </c>
      <c r="C3922" s="5" t="s">
        <v>11</v>
      </c>
      <c r="D3922" s="5" t="s">
        <v>12</v>
      </c>
      <c r="E3922" s="5" t="s">
        <v>2648</v>
      </c>
    </row>
    <row r="3923" spans="1:5" x14ac:dyDescent="0.25">
      <c r="A3923" s="5">
        <f>3915</f>
      </c>
      <c r="B3923" s="5" t="s">
        <v>3215</v>
      </c>
      <c r="C3923" s="5" t="s">
        <v>11</v>
      </c>
      <c r="D3923" s="5" t="s">
        <v>12</v>
      </c>
      <c r="E3923" s="5" t="s">
        <v>2648</v>
      </c>
    </row>
    <row r="3924" spans="1:5" x14ac:dyDescent="0.25">
      <c r="A3924" s="5">
        <f>3916</f>
      </c>
      <c r="B3924" s="5" t="s">
        <v>3215</v>
      </c>
      <c r="C3924" s="5" t="s">
        <v>11</v>
      </c>
      <c r="D3924" s="5" t="s">
        <v>12</v>
      </c>
      <c r="E3924" s="5" t="s">
        <v>2648</v>
      </c>
    </row>
    <row r="3925" spans="1:5" x14ac:dyDescent="0.25">
      <c r="A3925" s="5">
        <f>3917</f>
      </c>
      <c r="B3925" s="5" t="s">
        <v>3216</v>
      </c>
      <c r="C3925" s="5" t="s">
        <v>11</v>
      </c>
      <c r="D3925" s="5" t="s">
        <v>12</v>
      </c>
      <c r="E3925" s="5" t="s">
        <v>2648</v>
      </c>
    </row>
    <row r="3926" spans="1:5" x14ac:dyDescent="0.25">
      <c r="A3926" s="5">
        <f>3918</f>
      </c>
      <c r="B3926" s="5" t="s">
        <v>3216</v>
      </c>
      <c r="C3926" s="5" t="s">
        <v>11</v>
      </c>
      <c r="D3926" s="5" t="s">
        <v>12</v>
      </c>
      <c r="E3926" s="5" t="s">
        <v>2648</v>
      </c>
    </row>
    <row r="3927" spans="1:5" x14ac:dyDescent="0.25">
      <c r="A3927" s="5">
        <f>3919</f>
      </c>
      <c r="B3927" s="5" t="s">
        <v>3217</v>
      </c>
      <c r="C3927" s="5" t="s">
        <v>11</v>
      </c>
      <c r="D3927" s="5" t="s">
        <v>12</v>
      </c>
      <c r="E3927" s="5" t="s">
        <v>2648</v>
      </c>
    </row>
    <row r="3928" spans="1:5" x14ac:dyDescent="0.25">
      <c r="A3928" s="5">
        <f>3920</f>
      </c>
      <c r="B3928" s="5" t="s">
        <v>3217</v>
      </c>
      <c r="C3928" s="5" t="s">
        <v>11</v>
      </c>
      <c r="D3928" s="5" t="s">
        <v>12</v>
      </c>
      <c r="E3928" s="5" t="s">
        <v>2648</v>
      </c>
    </row>
    <row r="3929" spans="1:5" x14ac:dyDescent="0.25">
      <c r="A3929" s="5">
        <f>3921</f>
      </c>
      <c r="B3929" s="5" t="s">
        <v>3218</v>
      </c>
      <c r="C3929" s="5" t="s">
        <v>11</v>
      </c>
      <c r="D3929" s="5" t="s">
        <v>12</v>
      </c>
      <c r="E3929" s="5" t="s">
        <v>2648</v>
      </c>
    </row>
    <row r="3930" spans="1:5" x14ac:dyDescent="0.25">
      <c r="A3930" s="5">
        <f>3922</f>
      </c>
      <c r="B3930" s="5" t="s">
        <v>3218</v>
      </c>
      <c r="C3930" s="5" t="s">
        <v>11</v>
      </c>
      <c r="D3930" s="5" t="s">
        <v>12</v>
      </c>
      <c r="E3930" s="5" t="s">
        <v>2648</v>
      </c>
    </row>
    <row r="3931" spans="1:5" x14ac:dyDescent="0.25">
      <c r="A3931" s="5">
        <f>3923</f>
      </c>
      <c r="B3931" s="5" t="s">
        <v>3219</v>
      </c>
      <c r="C3931" s="5" t="s">
        <v>11</v>
      </c>
      <c r="D3931" s="5" t="s">
        <v>12</v>
      </c>
      <c r="E3931" s="5" t="s">
        <v>2648</v>
      </c>
    </row>
    <row r="3932" spans="1:5" x14ac:dyDescent="0.25">
      <c r="A3932" s="5">
        <f>3924</f>
      </c>
      <c r="B3932" s="5" t="s">
        <v>3219</v>
      </c>
      <c r="C3932" s="5" t="s">
        <v>11</v>
      </c>
      <c r="D3932" s="5" t="s">
        <v>12</v>
      </c>
      <c r="E3932" s="5" t="s">
        <v>2648</v>
      </c>
    </row>
    <row r="3933" spans="1:5" x14ac:dyDescent="0.25">
      <c r="A3933" s="5">
        <f>3925</f>
      </c>
      <c r="B3933" s="5" t="s">
        <v>3220</v>
      </c>
      <c r="C3933" s="5" t="s">
        <v>11</v>
      </c>
      <c r="D3933" s="5" t="s">
        <v>12</v>
      </c>
      <c r="E3933" s="5" t="s">
        <v>2648</v>
      </c>
    </row>
    <row r="3934" spans="1:5" x14ac:dyDescent="0.25">
      <c r="A3934" s="5">
        <f>3926</f>
      </c>
      <c r="B3934" s="5" t="s">
        <v>3220</v>
      </c>
      <c r="C3934" s="5" t="s">
        <v>11</v>
      </c>
      <c r="D3934" s="5" t="s">
        <v>12</v>
      </c>
      <c r="E3934" s="5" t="s">
        <v>2648</v>
      </c>
    </row>
    <row r="3935" spans="1:5" x14ac:dyDescent="0.25">
      <c r="A3935" s="5">
        <f>3927</f>
      </c>
      <c r="B3935" s="5" t="s">
        <v>3221</v>
      </c>
      <c r="C3935" s="5" t="s">
        <v>11</v>
      </c>
      <c r="D3935" s="5" t="s">
        <v>12</v>
      </c>
      <c r="E3935" s="5" t="s">
        <v>2648</v>
      </c>
    </row>
    <row r="3936" spans="1:5" x14ac:dyDescent="0.25">
      <c r="A3936" s="5">
        <f>3928</f>
      </c>
      <c r="B3936" s="5" t="s">
        <v>3221</v>
      </c>
      <c r="C3936" s="5" t="s">
        <v>11</v>
      </c>
      <c r="D3936" s="5" t="s">
        <v>12</v>
      </c>
      <c r="E3936" s="5" t="s">
        <v>2648</v>
      </c>
    </row>
    <row r="3937" spans="1:5" x14ac:dyDescent="0.25">
      <c r="A3937" s="5">
        <f>3929</f>
      </c>
      <c r="B3937" s="5" t="s">
        <v>3222</v>
      </c>
      <c r="C3937" s="5" t="s">
        <v>11</v>
      </c>
      <c r="D3937" s="5" t="s">
        <v>12</v>
      </c>
      <c r="E3937" s="5" t="s">
        <v>2648</v>
      </c>
    </row>
    <row r="3938" spans="1:5" x14ac:dyDescent="0.25">
      <c r="A3938" s="5">
        <f>3930</f>
      </c>
      <c r="B3938" s="5" t="s">
        <v>3222</v>
      </c>
      <c r="C3938" s="5" t="s">
        <v>11</v>
      </c>
      <c r="D3938" s="5" t="s">
        <v>12</v>
      </c>
      <c r="E3938" s="5" t="s">
        <v>2648</v>
      </c>
    </row>
    <row r="3939" spans="1:5" x14ac:dyDescent="0.25">
      <c r="A3939" s="5">
        <f>3931</f>
      </c>
      <c r="B3939" s="5" t="s">
        <v>3223</v>
      </c>
      <c r="C3939" s="5" t="s">
        <v>11</v>
      </c>
      <c r="D3939" s="5" t="s">
        <v>12</v>
      </c>
      <c r="E3939" s="5" t="s">
        <v>2648</v>
      </c>
    </row>
    <row r="3940" spans="1:5" x14ac:dyDescent="0.25">
      <c r="A3940" s="5">
        <f>3932</f>
      </c>
      <c r="B3940" s="5" t="s">
        <v>3223</v>
      </c>
      <c r="C3940" s="5" t="s">
        <v>11</v>
      </c>
      <c r="D3940" s="5" t="s">
        <v>12</v>
      </c>
      <c r="E3940" s="5" t="s">
        <v>2648</v>
      </c>
    </row>
    <row r="3941" spans="1:5" x14ac:dyDescent="0.25">
      <c r="A3941" s="5">
        <f>3933</f>
      </c>
      <c r="B3941" s="5" t="s">
        <v>3224</v>
      </c>
      <c r="C3941" s="5" t="s">
        <v>11</v>
      </c>
      <c r="D3941" s="5" t="s">
        <v>12</v>
      </c>
      <c r="E3941" s="5" t="s">
        <v>2648</v>
      </c>
    </row>
    <row r="3942" spans="1:5" x14ac:dyDescent="0.25">
      <c r="A3942" s="5">
        <f>3934</f>
      </c>
      <c r="B3942" s="5" t="s">
        <v>3224</v>
      </c>
      <c r="C3942" s="5" t="s">
        <v>11</v>
      </c>
      <c r="D3942" s="5" t="s">
        <v>12</v>
      </c>
      <c r="E3942" s="5" t="s">
        <v>2648</v>
      </c>
    </row>
    <row r="3943" spans="1:5" x14ac:dyDescent="0.25">
      <c r="A3943" s="5">
        <f>3935</f>
      </c>
      <c r="B3943" s="5" t="s">
        <v>3225</v>
      </c>
      <c r="C3943" s="5" t="s">
        <v>11</v>
      </c>
      <c r="D3943" s="5" t="s">
        <v>12</v>
      </c>
      <c r="E3943" s="5" t="s">
        <v>2648</v>
      </c>
    </row>
    <row r="3944" spans="1:5" x14ac:dyDescent="0.25">
      <c r="A3944" s="5">
        <f>3936</f>
      </c>
      <c r="B3944" s="5" t="s">
        <v>3225</v>
      </c>
      <c r="C3944" s="5" t="s">
        <v>11</v>
      </c>
      <c r="D3944" s="5" t="s">
        <v>12</v>
      </c>
      <c r="E3944" s="5" t="s">
        <v>2648</v>
      </c>
    </row>
    <row r="3945" spans="1:5" x14ac:dyDescent="0.25">
      <c r="A3945" s="5">
        <f>3937</f>
      </c>
      <c r="B3945" s="5" t="s">
        <v>3226</v>
      </c>
      <c r="C3945" s="5" t="s">
        <v>11</v>
      </c>
      <c r="D3945" s="5" t="s">
        <v>12</v>
      </c>
      <c r="E3945" s="5" t="s">
        <v>2648</v>
      </c>
    </row>
    <row r="3946" spans="1:5" x14ac:dyDescent="0.25">
      <c r="A3946" s="5">
        <f>3938</f>
      </c>
      <c r="B3946" s="5" t="s">
        <v>3226</v>
      </c>
      <c r="C3946" s="5" t="s">
        <v>11</v>
      </c>
      <c r="D3946" s="5" t="s">
        <v>12</v>
      </c>
      <c r="E3946" s="5" t="s">
        <v>2648</v>
      </c>
    </row>
    <row r="3947" spans="1:5" x14ac:dyDescent="0.25">
      <c r="A3947" s="5">
        <f>3939</f>
      </c>
      <c r="B3947" s="5" t="s">
        <v>3227</v>
      </c>
      <c r="C3947" s="5" t="s">
        <v>11</v>
      </c>
      <c r="D3947" s="5" t="s">
        <v>12</v>
      </c>
      <c r="E3947" s="5" t="s">
        <v>2648</v>
      </c>
    </row>
    <row r="3948" spans="1:5" x14ac:dyDescent="0.25">
      <c r="A3948" s="5">
        <f>3940</f>
      </c>
      <c r="B3948" s="5" t="s">
        <v>3227</v>
      </c>
      <c r="C3948" s="5" t="s">
        <v>11</v>
      </c>
      <c r="D3948" s="5" t="s">
        <v>12</v>
      </c>
      <c r="E3948" s="5" t="s">
        <v>2648</v>
      </c>
    </row>
    <row r="3949" spans="1:5" x14ac:dyDescent="0.25">
      <c r="A3949" s="5">
        <f>3941</f>
      </c>
      <c r="B3949" s="5" t="s">
        <v>3228</v>
      </c>
      <c r="C3949" s="5" t="s">
        <v>11</v>
      </c>
      <c r="D3949" s="5" t="s">
        <v>12</v>
      </c>
      <c r="E3949" s="5" t="s">
        <v>2648</v>
      </c>
    </row>
    <row r="3950" spans="1:5" x14ac:dyDescent="0.25">
      <c r="A3950" s="5">
        <f>3942</f>
      </c>
      <c r="B3950" s="5" t="s">
        <v>3228</v>
      </c>
      <c r="C3950" s="5" t="s">
        <v>11</v>
      </c>
      <c r="D3950" s="5" t="s">
        <v>12</v>
      </c>
      <c r="E3950" s="5" t="s">
        <v>2648</v>
      </c>
    </row>
    <row r="3951" spans="1:5" x14ac:dyDescent="0.25">
      <c r="A3951" s="5">
        <f>3943</f>
      </c>
      <c r="B3951" s="5" t="s">
        <v>3229</v>
      </c>
      <c r="C3951" s="5" t="s">
        <v>11</v>
      </c>
      <c r="D3951" s="5" t="s">
        <v>12</v>
      </c>
      <c r="E3951" s="5" t="s">
        <v>2648</v>
      </c>
    </row>
    <row r="3952" spans="1:5" x14ac:dyDescent="0.25">
      <c r="A3952" s="5">
        <f>3944</f>
      </c>
      <c r="B3952" s="5" t="s">
        <v>3229</v>
      </c>
      <c r="C3952" s="5" t="s">
        <v>11</v>
      </c>
      <c r="D3952" s="5" t="s">
        <v>12</v>
      </c>
      <c r="E3952" s="5" t="s">
        <v>2648</v>
      </c>
    </row>
    <row r="3953" spans="1:5" x14ac:dyDescent="0.25">
      <c r="A3953" s="5">
        <f>3945</f>
      </c>
      <c r="B3953" s="5" t="s">
        <v>3230</v>
      </c>
      <c r="C3953" s="5" t="s">
        <v>11</v>
      </c>
      <c r="D3953" s="5" t="s">
        <v>12</v>
      </c>
      <c r="E3953" s="5" t="s">
        <v>2648</v>
      </c>
    </row>
    <row r="3954" spans="1:5" x14ac:dyDescent="0.25">
      <c r="A3954" s="5">
        <f>3946</f>
      </c>
      <c r="B3954" s="5" t="s">
        <v>3230</v>
      </c>
      <c r="C3954" s="5" t="s">
        <v>11</v>
      </c>
      <c r="D3954" s="5" t="s">
        <v>12</v>
      </c>
      <c r="E3954" s="5" t="s">
        <v>2648</v>
      </c>
    </row>
    <row r="3955" spans="1:5" x14ac:dyDescent="0.25">
      <c r="A3955" s="5">
        <f>3947</f>
      </c>
      <c r="B3955" s="5" t="s">
        <v>3231</v>
      </c>
      <c r="C3955" s="5" t="s">
        <v>11</v>
      </c>
      <c r="D3955" s="5" t="s">
        <v>12</v>
      </c>
      <c r="E3955" s="5" t="s">
        <v>2648</v>
      </c>
    </row>
    <row r="3956" spans="1:5" x14ac:dyDescent="0.25">
      <c r="A3956" s="5">
        <f>3948</f>
      </c>
      <c r="B3956" s="5" t="s">
        <v>3231</v>
      </c>
      <c r="C3956" s="5" t="s">
        <v>11</v>
      </c>
      <c r="D3956" s="5" t="s">
        <v>12</v>
      </c>
      <c r="E3956" s="5" t="s">
        <v>2648</v>
      </c>
    </row>
    <row r="3957" spans="1:5" x14ac:dyDescent="0.25">
      <c r="A3957" s="5">
        <f>3949</f>
      </c>
      <c r="B3957" s="5" t="s">
        <v>3232</v>
      </c>
      <c r="C3957" s="5" t="s">
        <v>11</v>
      </c>
      <c r="D3957" s="5" t="s">
        <v>12</v>
      </c>
      <c r="E3957" s="5" t="s">
        <v>2648</v>
      </c>
    </row>
    <row r="3958" spans="1:5" x14ac:dyDescent="0.25">
      <c r="A3958" s="5">
        <f>3950</f>
      </c>
      <c r="B3958" s="5" t="s">
        <v>3232</v>
      </c>
      <c r="C3958" s="5" t="s">
        <v>11</v>
      </c>
      <c r="D3958" s="5" t="s">
        <v>12</v>
      </c>
      <c r="E3958" s="5" t="s">
        <v>2648</v>
      </c>
    </row>
    <row r="3959" spans="1:5" x14ac:dyDescent="0.25">
      <c r="A3959" s="5">
        <f>3951</f>
      </c>
      <c r="B3959" s="5" t="s">
        <v>3233</v>
      </c>
      <c r="C3959" s="5" t="s">
        <v>11</v>
      </c>
      <c r="D3959" s="5" t="s">
        <v>12</v>
      </c>
      <c r="E3959" s="5" t="s">
        <v>2648</v>
      </c>
    </row>
    <row r="3960" spans="1:5" x14ac:dyDescent="0.25">
      <c r="A3960" s="5">
        <f>3952</f>
      </c>
      <c r="B3960" s="5" t="s">
        <v>3233</v>
      </c>
      <c r="C3960" s="5" t="s">
        <v>11</v>
      </c>
      <c r="D3960" s="5" t="s">
        <v>12</v>
      </c>
      <c r="E3960" s="5" t="s">
        <v>2648</v>
      </c>
    </row>
    <row r="3961" spans="1:5" x14ac:dyDescent="0.25">
      <c r="A3961" s="5">
        <f>3953</f>
      </c>
      <c r="B3961" s="5" t="s">
        <v>3234</v>
      </c>
      <c r="C3961" s="5" t="s">
        <v>11</v>
      </c>
      <c r="D3961" s="5" t="s">
        <v>12</v>
      </c>
      <c r="E3961" s="5" t="s">
        <v>2648</v>
      </c>
    </row>
    <row r="3962" spans="1:5" x14ac:dyDescent="0.25">
      <c r="A3962" s="5">
        <f>3954</f>
      </c>
      <c r="B3962" s="5" t="s">
        <v>3234</v>
      </c>
      <c r="C3962" s="5" t="s">
        <v>11</v>
      </c>
      <c r="D3962" s="5" t="s">
        <v>12</v>
      </c>
      <c r="E3962" s="5" t="s">
        <v>2648</v>
      </c>
    </row>
    <row r="3963" spans="1:5" x14ac:dyDescent="0.25">
      <c r="A3963" s="5">
        <f>3955</f>
      </c>
      <c r="B3963" s="5" t="s">
        <v>3235</v>
      </c>
      <c r="C3963" s="5" t="s">
        <v>11</v>
      </c>
      <c r="D3963" s="5" t="s">
        <v>12</v>
      </c>
      <c r="E3963" s="5" t="s">
        <v>2648</v>
      </c>
    </row>
    <row r="3964" spans="1:5" x14ac:dyDescent="0.25">
      <c r="A3964" s="5">
        <f>3956</f>
      </c>
      <c r="B3964" s="5" t="s">
        <v>3235</v>
      </c>
      <c r="C3964" s="5" t="s">
        <v>11</v>
      </c>
      <c r="D3964" s="5" t="s">
        <v>12</v>
      </c>
      <c r="E3964" s="5" t="s">
        <v>2648</v>
      </c>
    </row>
    <row r="3965" spans="1:5" x14ac:dyDescent="0.25">
      <c r="A3965" s="5">
        <f>3957</f>
      </c>
      <c r="B3965" s="5" t="s">
        <v>3236</v>
      </c>
      <c r="C3965" s="5" t="s">
        <v>11</v>
      </c>
      <c r="D3965" s="5" t="s">
        <v>12</v>
      </c>
      <c r="E3965" s="5" t="s">
        <v>2648</v>
      </c>
    </row>
    <row r="3966" spans="1:5" x14ac:dyDescent="0.25">
      <c r="A3966" s="5">
        <f>3958</f>
      </c>
      <c r="B3966" s="5" t="s">
        <v>3236</v>
      </c>
      <c r="C3966" s="5" t="s">
        <v>11</v>
      </c>
      <c r="D3966" s="5" t="s">
        <v>12</v>
      </c>
      <c r="E3966" s="5" t="s">
        <v>2648</v>
      </c>
    </row>
    <row r="3967" spans="1:5" x14ac:dyDescent="0.25">
      <c r="A3967" s="5">
        <f>3959</f>
      </c>
      <c r="B3967" s="5" t="s">
        <v>3237</v>
      </c>
      <c r="C3967" s="5" t="s">
        <v>11</v>
      </c>
      <c r="D3967" s="5" t="s">
        <v>12</v>
      </c>
      <c r="E3967" s="5" t="s">
        <v>2648</v>
      </c>
    </row>
    <row r="3968" spans="1:5" x14ac:dyDescent="0.25">
      <c r="A3968" s="5">
        <f>3960</f>
      </c>
      <c r="B3968" s="5" t="s">
        <v>3237</v>
      </c>
      <c r="C3968" s="5" t="s">
        <v>11</v>
      </c>
      <c r="D3968" s="5" t="s">
        <v>12</v>
      </c>
      <c r="E3968" s="5" t="s">
        <v>2648</v>
      </c>
    </row>
    <row r="3969" spans="1:5" x14ac:dyDescent="0.25">
      <c r="A3969" s="5">
        <f>3961</f>
      </c>
      <c r="B3969" s="5" t="s">
        <v>3238</v>
      </c>
      <c r="C3969" s="5" t="s">
        <v>11</v>
      </c>
      <c r="D3969" s="5" t="s">
        <v>12</v>
      </c>
      <c r="E3969" s="5" t="s">
        <v>2648</v>
      </c>
    </row>
    <row r="3970" spans="1:5" x14ac:dyDescent="0.25">
      <c r="A3970" s="5">
        <f>3962</f>
      </c>
      <c r="B3970" s="5" t="s">
        <v>3238</v>
      </c>
      <c r="C3970" s="5" t="s">
        <v>11</v>
      </c>
      <c r="D3970" s="5" t="s">
        <v>12</v>
      </c>
      <c r="E3970" s="5" t="s">
        <v>2648</v>
      </c>
    </row>
    <row r="3971" spans="1:5" x14ac:dyDescent="0.25">
      <c r="A3971" s="5">
        <f>3963</f>
      </c>
      <c r="B3971" s="5" t="s">
        <v>3239</v>
      </c>
      <c r="C3971" s="5" t="s">
        <v>11</v>
      </c>
      <c r="D3971" s="5" t="s">
        <v>12</v>
      </c>
      <c r="E3971" s="5" t="s">
        <v>2648</v>
      </c>
    </row>
    <row r="3972" spans="1:5" x14ac:dyDescent="0.25">
      <c r="A3972" s="5">
        <f>3964</f>
      </c>
      <c r="B3972" s="5" t="s">
        <v>3239</v>
      </c>
      <c r="C3972" s="5" t="s">
        <v>11</v>
      </c>
      <c r="D3972" s="5" t="s">
        <v>12</v>
      </c>
      <c r="E3972" s="5" t="s">
        <v>2648</v>
      </c>
    </row>
    <row r="3973" spans="1:5" x14ac:dyDescent="0.25">
      <c r="A3973" s="5">
        <f>3965</f>
      </c>
      <c r="B3973" s="5" t="s">
        <v>3240</v>
      </c>
      <c r="C3973" s="5" t="s">
        <v>11</v>
      </c>
      <c r="D3973" s="5" t="s">
        <v>12</v>
      </c>
      <c r="E3973" s="5" t="s">
        <v>2648</v>
      </c>
    </row>
    <row r="3974" spans="1:5" x14ac:dyDescent="0.25">
      <c r="A3974" s="5">
        <f>3966</f>
      </c>
      <c r="B3974" s="5" t="s">
        <v>3240</v>
      </c>
      <c r="C3974" s="5" t="s">
        <v>11</v>
      </c>
      <c r="D3974" s="5" t="s">
        <v>12</v>
      </c>
      <c r="E3974" s="5" t="s">
        <v>2648</v>
      </c>
    </row>
    <row r="3975" spans="1:5" x14ac:dyDescent="0.25">
      <c r="A3975" s="5">
        <f>3967</f>
      </c>
      <c r="B3975" s="5" t="s">
        <v>3241</v>
      </c>
      <c r="C3975" s="5" t="s">
        <v>11</v>
      </c>
      <c r="D3975" s="5" t="s">
        <v>12</v>
      </c>
      <c r="E3975" s="5" t="s">
        <v>2648</v>
      </c>
    </row>
    <row r="3976" spans="1:5" x14ac:dyDescent="0.25">
      <c r="A3976" s="5">
        <f>3968</f>
      </c>
      <c r="B3976" s="5" t="s">
        <v>3241</v>
      </c>
      <c r="C3976" s="5" t="s">
        <v>11</v>
      </c>
      <c r="D3976" s="5" t="s">
        <v>12</v>
      </c>
      <c r="E3976" s="5" t="s">
        <v>2648</v>
      </c>
    </row>
    <row r="3977" spans="1:5" x14ac:dyDescent="0.25">
      <c r="A3977" s="5">
        <f>3969</f>
      </c>
      <c r="B3977" s="5" t="s">
        <v>3242</v>
      </c>
      <c r="C3977" s="5" t="s">
        <v>11</v>
      </c>
      <c r="D3977" s="5" t="s">
        <v>12</v>
      </c>
      <c r="E3977" s="5" t="s">
        <v>2648</v>
      </c>
    </row>
    <row r="3978" spans="1:5" x14ac:dyDescent="0.25">
      <c r="A3978" s="5">
        <f>3970</f>
      </c>
      <c r="B3978" s="5" t="s">
        <v>3242</v>
      </c>
      <c r="C3978" s="5" t="s">
        <v>11</v>
      </c>
      <c r="D3978" s="5" t="s">
        <v>12</v>
      </c>
      <c r="E3978" s="5" t="s">
        <v>2648</v>
      </c>
    </row>
    <row r="3979" spans="1:5" x14ac:dyDescent="0.25">
      <c r="A3979" s="5">
        <f>3971</f>
      </c>
      <c r="B3979" s="5" t="s">
        <v>3243</v>
      </c>
      <c r="C3979" s="5" t="s">
        <v>11</v>
      </c>
      <c r="D3979" s="5" t="s">
        <v>12</v>
      </c>
      <c r="E3979" s="5" t="s">
        <v>2648</v>
      </c>
    </row>
    <row r="3980" spans="1:5" x14ac:dyDescent="0.25">
      <c r="A3980" s="5">
        <f>3972</f>
      </c>
      <c r="B3980" s="5" t="s">
        <v>3243</v>
      </c>
      <c r="C3980" s="5" t="s">
        <v>11</v>
      </c>
      <c r="D3980" s="5" t="s">
        <v>12</v>
      </c>
      <c r="E3980" s="5" t="s">
        <v>2648</v>
      </c>
    </row>
    <row r="3981" spans="1:5" x14ac:dyDescent="0.25">
      <c r="A3981" s="5">
        <f>3973</f>
      </c>
      <c r="B3981" s="5" t="s">
        <v>3244</v>
      </c>
      <c r="C3981" s="5" t="s">
        <v>11</v>
      </c>
      <c r="D3981" s="5" t="s">
        <v>12</v>
      </c>
      <c r="E3981" s="5" t="s">
        <v>2648</v>
      </c>
    </row>
    <row r="3982" spans="1:5" x14ac:dyDescent="0.25">
      <c r="A3982" s="5">
        <f>3974</f>
      </c>
      <c r="B3982" s="5" t="s">
        <v>3244</v>
      </c>
      <c r="C3982" s="5" t="s">
        <v>11</v>
      </c>
      <c r="D3982" s="5" t="s">
        <v>12</v>
      </c>
      <c r="E3982" s="5" t="s">
        <v>2648</v>
      </c>
    </row>
    <row r="3983" spans="1:5" x14ac:dyDescent="0.25">
      <c r="A3983" s="5">
        <f>3975</f>
      </c>
      <c r="B3983" s="5" t="s">
        <v>3245</v>
      </c>
      <c r="C3983" s="5" t="s">
        <v>11</v>
      </c>
      <c r="D3983" s="5" t="s">
        <v>12</v>
      </c>
      <c r="E3983" s="5" t="s">
        <v>2648</v>
      </c>
    </row>
    <row r="3984" spans="1:5" x14ac:dyDescent="0.25">
      <c r="A3984" s="5">
        <f>3976</f>
      </c>
      <c r="B3984" s="5" t="s">
        <v>3245</v>
      </c>
      <c r="C3984" s="5" t="s">
        <v>11</v>
      </c>
      <c r="D3984" s="5" t="s">
        <v>12</v>
      </c>
      <c r="E3984" s="5" t="s">
        <v>2648</v>
      </c>
    </row>
    <row r="3985" spans="1:5" x14ac:dyDescent="0.25">
      <c r="A3985" s="5">
        <f>3977</f>
      </c>
      <c r="B3985" s="5" t="s">
        <v>3246</v>
      </c>
      <c r="C3985" s="5" t="s">
        <v>11</v>
      </c>
      <c r="D3985" s="5" t="s">
        <v>12</v>
      </c>
      <c r="E3985" s="5" t="s">
        <v>2648</v>
      </c>
    </row>
    <row r="3986" spans="1:5" x14ac:dyDescent="0.25">
      <c r="A3986" s="5">
        <f>3978</f>
      </c>
      <c r="B3986" s="5" t="s">
        <v>3246</v>
      </c>
      <c r="C3986" s="5" t="s">
        <v>11</v>
      </c>
      <c r="D3986" s="5" t="s">
        <v>12</v>
      </c>
      <c r="E3986" s="5" t="s">
        <v>2648</v>
      </c>
    </row>
    <row r="3987" spans="1:5" x14ac:dyDescent="0.25">
      <c r="A3987" s="5">
        <f>3979</f>
      </c>
      <c r="B3987" s="5" t="s">
        <v>3247</v>
      </c>
      <c r="C3987" s="5" t="s">
        <v>11</v>
      </c>
      <c r="D3987" s="5" t="s">
        <v>12</v>
      </c>
      <c r="E3987" s="5" t="s">
        <v>2648</v>
      </c>
    </row>
    <row r="3988" spans="1:5" x14ac:dyDescent="0.25">
      <c r="A3988" s="5">
        <f>3980</f>
      </c>
      <c r="B3988" s="5" t="s">
        <v>3247</v>
      </c>
      <c r="C3988" s="5" t="s">
        <v>11</v>
      </c>
      <c r="D3988" s="5" t="s">
        <v>12</v>
      </c>
      <c r="E3988" s="5" t="s">
        <v>2648</v>
      </c>
    </row>
    <row r="3989" spans="1:5" x14ac:dyDescent="0.25">
      <c r="A3989" s="5">
        <f>3981</f>
      </c>
      <c r="B3989" s="5" t="s">
        <v>3248</v>
      </c>
      <c r="C3989" s="5" t="s">
        <v>11</v>
      </c>
      <c r="D3989" s="5" t="s">
        <v>12</v>
      </c>
      <c r="E3989" s="5" t="s">
        <v>2648</v>
      </c>
    </row>
    <row r="3990" spans="1:5" x14ac:dyDescent="0.25">
      <c r="A3990" s="5">
        <f>3982</f>
      </c>
      <c r="B3990" s="5" t="s">
        <v>3248</v>
      </c>
      <c r="C3990" s="5" t="s">
        <v>11</v>
      </c>
      <c r="D3990" s="5" t="s">
        <v>12</v>
      </c>
      <c r="E3990" s="5" t="s">
        <v>2648</v>
      </c>
    </row>
    <row r="3991" spans="1:5" x14ac:dyDescent="0.25">
      <c r="A3991" s="5">
        <f>3983</f>
      </c>
      <c r="B3991" s="5" t="s">
        <v>3249</v>
      </c>
      <c r="C3991" s="5" t="s">
        <v>11</v>
      </c>
      <c r="D3991" s="5" t="s">
        <v>12</v>
      </c>
      <c r="E3991" s="5" t="s">
        <v>2648</v>
      </c>
    </row>
    <row r="3992" spans="1:5" x14ac:dyDescent="0.25">
      <c r="A3992" s="5">
        <f>3984</f>
      </c>
      <c r="B3992" s="5" t="s">
        <v>3249</v>
      </c>
      <c r="C3992" s="5" t="s">
        <v>11</v>
      </c>
      <c r="D3992" s="5" t="s">
        <v>12</v>
      </c>
      <c r="E3992" s="5" t="s">
        <v>2648</v>
      </c>
    </row>
    <row r="3993" spans="1:5" x14ac:dyDescent="0.25">
      <c r="A3993" s="5">
        <f>3985</f>
      </c>
      <c r="B3993" s="5" t="s">
        <v>3250</v>
      </c>
      <c r="C3993" s="5" t="s">
        <v>11</v>
      </c>
      <c r="D3993" s="5" t="s">
        <v>12</v>
      </c>
      <c r="E3993" s="5" t="s">
        <v>2648</v>
      </c>
    </row>
    <row r="3994" spans="1:5" x14ac:dyDescent="0.25">
      <c r="A3994" s="5">
        <f>3986</f>
      </c>
      <c r="B3994" s="5" t="s">
        <v>3250</v>
      </c>
      <c r="C3994" s="5" t="s">
        <v>11</v>
      </c>
      <c r="D3994" s="5" t="s">
        <v>12</v>
      </c>
      <c r="E3994" s="5" t="s">
        <v>2648</v>
      </c>
    </row>
    <row r="3995" spans="1:5" x14ac:dyDescent="0.25">
      <c r="A3995" s="5">
        <f>3987</f>
      </c>
      <c r="B3995" s="5" t="s">
        <v>3251</v>
      </c>
      <c r="C3995" s="5" t="s">
        <v>11</v>
      </c>
      <c r="D3995" s="5" t="s">
        <v>12</v>
      </c>
      <c r="E3995" s="5" t="s">
        <v>2648</v>
      </c>
    </row>
    <row r="3996" spans="1:5" x14ac:dyDescent="0.25">
      <c r="A3996" s="5">
        <f>3988</f>
      </c>
      <c r="B3996" s="5" t="s">
        <v>3251</v>
      </c>
      <c r="C3996" s="5" t="s">
        <v>11</v>
      </c>
      <c r="D3996" s="5" t="s">
        <v>12</v>
      </c>
      <c r="E3996" s="5" t="s">
        <v>2648</v>
      </c>
    </row>
    <row r="3997" spans="1:5" x14ac:dyDescent="0.25">
      <c r="A3997" s="5">
        <f>3989</f>
      </c>
      <c r="B3997" s="5" t="s">
        <v>3252</v>
      </c>
      <c r="C3997" s="5" t="s">
        <v>11</v>
      </c>
      <c r="D3997" s="5" t="s">
        <v>12</v>
      </c>
      <c r="E3997" s="5" t="s">
        <v>2648</v>
      </c>
    </row>
    <row r="3998" spans="1:5" x14ac:dyDescent="0.25">
      <c r="A3998" s="5">
        <f>3990</f>
      </c>
      <c r="B3998" s="5" t="s">
        <v>3252</v>
      </c>
      <c r="C3998" s="5" t="s">
        <v>11</v>
      </c>
      <c r="D3998" s="5" t="s">
        <v>12</v>
      </c>
      <c r="E3998" s="5" t="s">
        <v>2648</v>
      </c>
    </row>
    <row r="3999" spans="1:5" x14ac:dyDescent="0.25">
      <c r="A3999" s="5">
        <f>3991</f>
      </c>
      <c r="B3999" s="5" t="s">
        <v>3253</v>
      </c>
      <c r="C3999" s="5" t="s">
        <v>11</v>
      </c>
      <c r="D3999" s="5" t="s">
        <v>12</v>
      </c>
      <c r="E3999" s="5" t="s">
        <v>2648</v>
      </c>
    </row>
    <row r="4000" spans="1:5" x14ac:dyDescent="0.25">
      <c r="A4000" s="5">
        <f>3992</f>
      </c>
      <c r="B4000" s="5" t="s">
        <v>3253</v>
      </c>
      <c r="C4000" s="5" t="s">
        <v>11</v>
      </c>
      <c r="D4000" s="5" t="s">
        <v>12</v>
      </c>
      <c r="E4000" s="5" t="s">
        <v>2648</v>
      </c>
    </row>
    <row r="4001" spans="1:5" x14ac:dyDescent="0.25">
      <c r="A4001" s="5">
        <f>3993</f>
      </c>
      <c r="B4001" s="5" t="s">
        <v>3254</v>
      </c>
      <c r="C4001" s="5" t="s">
        <v>11</v>
      </c>
      <c r="D4001" s="5" t="s">
        <v>12</v>
      </c>
      <c r="E4001" s="5" t="s">
        <v>2648</v>
      </c>
    </row>
    <row r="4002" spans="1:5" x14ac:dyDescent="0.25">
      <c r="A4002" s="5">
        <f>3994</f>
      </c>
      <c r="B4002" s="5" t="s">
        <v>3254</v>
      </c>
      <c r="C4002" s="5" t="s">
        <v>11</v>
      </c>
      <c r="D4002" s="5" t="s">
        <v>12</v>
      </c>
      <c r="E4002" s="5" t="s">
        <v>2648</v>
      </c>
    </row>
    <row r="4003" spans="1:5" x14ac:dyDescent="0.25">
      <c r="A4003" s="5">
        <f>3995</f>
      </c>
      <c r="B4003" s="5" t="s">
        <v>3255</v>
      </c>
      <c r="C4003" s="5" t="s">
        <v>11</v>
      </c>
      <c r="D4003" s="5" t="s">
        <v>12</v>
      </c>
      <c r="E4003" s="5" t="s">
        <v>2648</v>
      </c>
    </row>
    <row r="4004" spans="1:5" x14ac:dyDescent="0.25">
      <c r="A4004" s="5">
        <f>3996</f>
      </c>
      <c r="B4004" s="5" t="s">
        <v>3255</v>
      </c>
      <c r="C4004" s="5" t="s">
        <v>11</v>
      </c>
      <c r="D4004" s="5" t="s">
        <v>12</v>
      </c>
      <c r="E4004" s="5" t="s">
        <v>2648</v>
      </c>
    </row>
    <row r="4005" spans="1:5" x14ac:dyDescent="0.25">
      <c r="A4005" s="5">
        <f>3997</f>
      </c>
      <c r="B4005" s="5" t="s">
        <v>3256</v>
      </c>
      <c r="C4005" s="5" t="s">
        <v>11</v>
      </c>
      <c r="D4005" s="5" t="s">
        <v>12</v>
      </c>
      <c r="E4005" s="5" t="s">
        <v>2648</v>
      </c>
    </row>
    <row r="4006" spans="1:5" x14ac:dyDescent="0.25">
      <c r="A4006" s="5">
        <f>3998</f>
      </c>
      <c r="B4006" s="5" t="s">
        <v>3256</v>
      </c>
      <c r="C4006" s="5" t="s">
        <v>11</v>
      </c>
      <c r="D4006" s="5" t="s">
        <v>12</v>
      </c>
      <c r="E4006" s="5" t="s">
        <v>2648</v>
      </c>
    </row>
    <row r="4007" spans="1:5" x14ac:dyDescent="0.25">
      <c r="A4007" s="5">
        <f>3999</f>
      </c>
      <c r="B4007" s="5" t="s">
        <v>3257</v>
      </c>
      <c r="C4007" s="5" t="s">
        <v>11</v>
      </c>
      <c r="D4007" s="5" t="s">
        <v>12</v>
      </c>
      <c r="E4007" s="5" t="s">
        <v>2648</v>
      </c>
    </row>
    <row r="4008" spans="1:5" x14ac:dyDescent="0.25">
      <c r="A4008" s="5">
        <f>4000</f>
      </c>
      <c r="B4008" s="5" t="s">
        <v>3257</v>
      </c>
      <c r="C4008" s="5" t="s">
        <v>11</v>
      </c>
      <c r="D4008" s="5" t="s">
        <v>12</v>
      </c>
      <c r="E4008" s="5" t="s">
        <v>2648</v>
      </c>
    </row>
    <row r="4009" spans="1:5" x14ac:dyDescent="0.25">
      <c r="A4009" s="5">
        <f>4001</f>
      </c>
      <c r="B4009" s="5" t="s">
        <v>3258</v>
      </c>
      <c r="C4009" s="5" t="s">
        <v>11</v>
      </c>
      <c r="D4009" s="5" t="s">
        <v>12</v>
      </c>
      <c r="E4009" s="5" t="s">
        <v>2648</v>
      </c>
    </row>
    <row r="4010" spans="1:5" x14ac:dyDescent="0.25">
      <c r="A4010" s="5">
        <f>4002</f>
      </c>
      <c r="B4010" s="5" t="s">
        <v>3258</v>
      </c>
      <c r="C4010" s="5" t="s">
        <v>11</v>
      </c>
      <c r="D4010" s="5" t="s">
        <v>12</v>
      </c>
      <c r="E4010" s="5" t="s">
        <v>2648</v>
      </c>
    </row>
    <row r="4011" spans="1:5" x14ac:dyDescent="0.25">
      <c r="A4011" s="5">
        <f>4003</f>
      </c>
      <c r="B4011" s="5" t="s">
        <v>3259</v>
      </c>
      <c r="C4011" s="5" t="s">
        <v>11</v>
      </c>
      <c r="D4011" s="5" t="s">
        <v>12</v>
      </c>
      <c r="E4011" s="5" t="s">
        <v>2648</v>
      </c>
    </row>
    <row r="4012" spans="1:5" x14ac:dyDescent="0.25">
      <c r="A4012" s="5">
        <f>4004</f>
      </c>
      <c r="B4012" s="5" t="s">
        <v>3259</v>
      </c>
      <c r="C4012" s="5" t="s">
        <v>11</v>
      </c>
      <c r="D4012" s="5" t="s">
        <v>12</v>
      </c>
      <c r="E4012" s="5" t="s">
        <v>2648</v>
      </c>
    </row>
    <row r="4013" spans="1:5" x14ac:dyDescent="0.25">
      <c r="A4013" s="5">
        <f>4005</f>
      </c>
      <c r="B4013" s="5" t="s">
        <v>3260</v>
      </c>
      <c r="C4013" s="5" t="s">
        <v>11</v>
      </c>
      <c r="D4013" s="5" t="s">
        <v>12</v>
      </c>
      <c r="E4013" s="5" t="s">
        <v>2648</v>
      </c>
    </row>
    <row r="4014" spans="1:5" x14ac:dyDescent="0.25">
      <c r="A4014" s="5">
        <f>4006</f>
      </c>
      <c r="B4014" s="5" t="s">
        <v>3260</v>
      </c>
      <c r="C4014" s="5" t="s">
        <v>11</v>
      </c>
      <c r="D4014" s="5" t="s">
        <v>12</v>
      </c>
      <c r="E4014" s="5" t="s">
        <v>2648</v>
      </c>
    </row>
    <row r="4015" spans="1:5" x14ac:dyDescent="0.25">
      <c r="A4015" s="5">
        <f>4007</f>
      </c>
      <c r="B4015" s="5" t="s">
        <v>3261</v>
      </c>
      <c r="C4015" s="5" t="s">
        <v>11</v>
      </c>
      <c r="D4015" s="5" t="s">
        <v>12</v>
      </c>
      <c r="E4015" s="5" t="s">
        <v>2648</v>
      </c>
    </row>
    <row r="4016" spans="1:5" x14ac:dyDescent="0.25">
      <c r="A4016" s="5">
        <f>4008</f>
      </c>
      <c r="B4016" s="5" t="s">
        <v>3261</v>
      </c>
      <c r="C4016" s="5" t="s">
        <v>11</v>
      </c>
      <c r="D4016" s="5" t="s">
        <v>12</v>
      </c>
      <c r="E4016" s="5" t="s">
        <v>2648</v>
      </c>
    </row>
    <row r="4017" spans="1:5" x14ac:dyDescent="0.25">
      <c r="A4017" s="5">
        <f>4009</f>
      </c>
      <c r="B4017" s="5" t="s">
        <v>3262</v>
      </c>
      <c r="C4017" s="5" t="s">
        <v>11</v>
      </c>
      <c r="D4017" s="5" t="s">
        <v>12</v>
      </c>
      <c r="E4017" s="5" t="s">
        <v>2648</v>
      </c>
    </row>
    <row r="4018" spans="1:5" x14ac:dyDescent="0.25">
      <c r="A4018" s="5">
        <f>4010</f>
      </c>
      <c r="B4018" s="5" t="s">
        <v>3262</v>
      </c>
      <c r="C4018" s="5" t="s">
        <v>11</v>
      </c>
      <c r="D4018" s="5" t="s">
        <v>12</v>
      </c>
      <c r="E4018" s="5" t="s">
        <v>2648</v>
      </c>
    </row>
    <row r="4019" spans="1:5" x14ac:dyDescent="0.25">
      <c r="A4019" s="5">
        <f>4011</f>
      </c>
      <c r="B4019" s="5" t="s">
        <v>3263</v>
      </c>
      <c r="C4019" s="5" t="s">
        <v>11</v>
      </c>
      <c r="D4019" s="5" t="s">
        <v>12</v>
      </c>
      <c r="E4019" s="5" t="s">
        <v>2648</v>
      </c>
    </row>
    <row r="4020" spans="1:5" x14ac:dyDescent="0.25">
      <c r="A4020" s="5">
        <f>4012</f>
      </c>
      <c r="B4020" s="5" t="s">
        <v>3263</v>
      </c>
      <c r="C4020" s="5" t="s">
        <v>11</v>
      </c>
      <c r="D4020" s="5" t="s">
        <v>12</v>
      </c>
      <c r="E4020" s="5" t="s">
        <v>2648</v>
      </c>
    </row>
    <row r="4021" spans="1:5" x14ac:dyDescent="0.25">
      <c r="A4021" s="5">
        <f>4013</f>
      </c>
      <c r="B4021" s="5" t="s">
        <v>3264</v>
      </c>
      <c r="C4021" s="5" t="s">
        <v>11</v>
      </c>
      <c r="D4021" s="5" t="s">
        <v>12</v>
      </c>
      <c r="E4021" s="5" t="s">
        <v>2648</v>
      </c>
    </row>
    <row r="4022" spans="1:5" x14ac:dyDescent="0.25">
      <c r="A4022" s="5">
        <f>4014</f>
      </c>
      <c r="B4022" s="5" t="s">
        <v>3264</v>
      </c>
      <c r="C4022" s="5" t="s">
        <v>11</v>
      </c>
      <c r="D4022" s="5" t="s">
        <v>12</v>
      </c>
      <c r="E4022" s="5" t="s">
        <v>2648</v>
      </c>
    </row>
    <row r="4023" spans="1:5" x14ac:dyDescent="0.25">
      <c r="A4023" s="5">
        <f>4015</f>
      </c>
      <c r="B4023" s="5" t="s">
        <v>3265</v>
      </c>
      <c r="C4023" s="5" t="s">
        <v>11</v>
      </c>
      <c r="D4023" s="5" t="s">
        <v>12</v>
      </c>
      <c r="E4023" s="5" t="s">
        <v>2648</v>
      </c>
    </row>
    <row r="4024" spans="1:5" x14ac:dyDescent="0.25">
      <c r="A4024" s="5">
        <f>4016</f>
      </c>
      <c r="B4024" s="5" t="s">
        <v>3265</v>
      </c>
      <c r="C4024" s="5" t="s">
        <v>11</v>
      </c>
      <c r="D4024" s="5" t="s">
        <v>12</v>
      </c>
      <c r="E4024" s="5" t="s">
        <v>2648</v>
      </c>
    </row>
    <row r="4025" spans="1:5" x14ac:dyDescent="0.25">
      <c r="A4025" s="5">
        <f>4017</f>
      </c>
      <c r="B4025" s="5" t="s">
        <v>3266</v>
      </c>
      <c r="C4025" s="5" t="s">
        <v>11</v>
      </c>
      <c r="D4025" s="5" t="s">
        <v>12</v>
      </c>
      <c r="E4025" s="5" t="s">
        <v>2648</v>
      </c>
    </row>
    <row r="4026" spans="1:5" x14ac:dyDescent="0.25">
      <c r="A4026" s="5">
        <f>4018</f>
      </c>
      <c r="B4026" s="5" t="s">
        <v>3266</v>
      </c>
      <c r="C4026" s="5" t="s">
        <v>11</v>
      </c>
      <c r="D4026" s="5" t="s">
        <v>12</v>
      </c>
      <c r="E4026" s="5" t="s">
        <v>2648</v>
      </c>
    </row>
    <row r="4027" spans="1:5" x14ac:dyDescent="0.25">
      <c r="A4027" s="5">
        <f>4019</f>
      </c>
      <c r="B4027" s="5" t="s">
        <v>3267</v>
      </c>
      <c r="C4027" s="5" t="s">
        <v>11</v>
      </c>
      <c r="D4027" s="5" t="s">
        <v>12</v>
      </c>
      <c r="E4027" s="5" t="s">
        <v>2648</v>
      </c>
    </row>
    <row r="4028" spans="1:5" x14ac:dyDescent="0.25">
      <c r="A4028" s="5">
        <f>4020</f>
      </c>
      <c r="B4028" s="5" t="s">
        <v>3267</v>
      </c>
      <c r="C4028" s="5" t="s">
        <v>11</v>
      </c>
      <c r="D4028" s="5" t="s">
        <v>12</v>
      </c>
      <c r="E4028" s="5" t="s">
        <v>2648</v>
      </c>
    </row>
    <row r="4029" spans="1:5" x14ac:dyDescent="0.25">
      <c r="A4029" s="5">
        <f>4021</f>
      </c>
      <c r="B4029" s="5" t="s">
        <v>3268</v>
      </c>
      <c r="C4029" s="5" t="s">
        <v>11</v>
      </c>
      <c r="D4029" s="5" t="s">
        <v>12</v>
      </c>
      <c r="E4029" s="5" t="s">
        <v>990</v>
      </c>
    </row>
    <row r="4030" spans="1:5" x14ac:dyDescent="0.25">
      <c r="A4030" s="5">
        <f>4022</f>
      </c>
      <c r="B4030" s="5" t="s">
        <v>3268</v>
      </c>
      <c r="C4030" s="5" t="s">
        <v>11</v>
      </c>
      <c r="D4030" s="5" t="s">
        <v>12</v>
      </c>
      <c r="E4030" s="5" t="s">
        <v>990</v>
      </c>
    </row>
    <row r="4031" spans="1:5" x14ac:dyDescent="0.25">
      <c r="A4031" s="5">
        <f>4023</f>
      </c>
      <c r="B4031" s="5" t="s">
        <v>3269</v>
      </c>
      <c r="C4031" s="5" t="s">
        <v>11</v>
      </c>
      <c r="D4031" s="5" t="s">
        <v>12</v>
      </c>
      <c r="E4031" s="5" t="s">
        <v>990</v>
      </c>
    </row>
    <row r="4032" spans="1:5" x14ac:dyDescent="0.25">
      <c r="A4032" s="5">
        <f>4024</f>
      </c>
      <c r="B4032" s="5" t="s">
        <v>3269</v>
      </c>
      <c r="C4032" s="5" t="s">
        <v>11</v>
      </c>
      <c r="D4032" s="5" t="s">
        <v>12</v>
      </c>
      <c r="E4032" s="5" t="s">
        <v>990</v>
      </c>
    </row>
    <row r="4033" spans="1:5" x14ac:dyDescent="0.25">
      <c r="A4033" s="5">
        <f>4025</f>
      </c>
      <c r="B4033" s="5" t="s">
        <v>3270</v>
      </c>
      <c r="C4033" s="5" t="s">
        <v>11</v>
      </c>
      <c r="D4033" s="5" t="s">
        <v>12</v>
      </c>
      <c r="E4033" s="5" t="s">
        <v>990</v>
      </c>
    </row>
    <row r="4034" spans="1:5" x14ac:dyDescent="0.25">
      <c r="A4034" s="5">
        <f>4026</f>
      </c>
      <c r="B4034" s="5" t="s">
        <v>3270</v>
      </c>
      <c r="C4034" s="5" t="s">
        <v>11</v>
      </c>
      <c r="D4034" s="5" t="s">
        <v>12</v>
      </c>
      <c r="E4034" s="5" t="s">
        <v>990</v>
      </c>
    </row>
    <row r="4035" spans="1:5" x14ac:dyDescent="0.25">
      <c r="A4035" s="5">
        <f>4027</f>
      </c>
      <c r="B4035" s="5" t="s">
        <v>3271</v>
      </c>
      <c r="C4035" s="5" t="s">
        <v>11</v>
      </c>
      <c r="D4035" s="5" t="s">
        <v>12</v>
      </c>
      <c r="E4035" s="5" t="s">
        <v>990</v>
      </c>
    </row>
    <row r="4036" spans="1:5" x14ac:dyDescent="0.25">
      <c r="A4036" s="5">
        <f>4028</f>
      </c>
      <c r="B4036" s="5" t="s">
        <v>3271</v>
      </c>
      <c r="C4036" s="5" t="s">
        <v>11</v>
      </c>
      <c r="D4036" s="5" t="s">
        <v>12</v>
      </c>
      <c r="E4036" s="5" t="s">
        <v>990</v>
      </c>
    </row>
    <row r="4037" spans="1:5" x14ac:dyDescent="0.25">
      <c r="A4037" s="5">
        <f>4029</f>
      </c>
      <c r="B4037" s="5" t="s">
        <v>3272</v>
      </c>
      <c r="C4037" s="5" t="s">
        <v>11</v>
      </c>
      <c r="D4037" s="5" t="s">
        <v>12</v>
      </c>
      <c r="E4037" s="5" t="s">
        <v>990</v>
      </c>
    </row>
    <row r="4038" spans="1:5" x14ac:dyDescent="0.25">
      <c r="A4038" s="5">
        <f>4030</f>
      </c>
      <c r="B4038" s="5" t="s">
        <v>3272</v>
      </c>
      <c r="C4038" s="5" t="s">
        <v>11</v>
      </c>
      <c r="D4038" s="5" t="s">
        <v>12</v>
      </c>
      <c r="E4038" s="5" t="s">
        <v>990</v>
      </c>
    </row>
    <row r="4039" spans="1:5" x14ac:dyDescent="0.25">
      <c r="A4039" s="5">
        <f>4031</f>
      </c>
      <c r="B4039" s="5" t="s">
        <v>3273</v>
      </c>
      <c r="C4039" s="5" t="s">
        <v>11</v>
      </c>
      <c r="D4039" s="5" t="s">
        <v>12</v>
      </c>
      <c r="E4039" s="5" t="s">
        <v>990</v>
      </c>
    </row>
    <row r="4040" spans="1:5" x14ac:dyDescent="0.25">
      <c r="A4040" s="5">
        <f>4032</f>
      </c>
      <c r="B4040" s="5" t="s">
        <v>3273</v>
      </c>
      <c r="C4040" s="5" t="s">
        <v>11</v>
      </c>
      <c r="D4040" s="5" t="s">
        <v>12</v>
      </c>
      <c r="E4040" s="5" t="s">
        <v>990</v>
      </c>
    </row>
    <row r="4041" spans="1:5" x14ac:dyDescent="0.25">
      <c r="A4041" s="5">
        <f>4033</f>
      </c>
      <c r="B4041" s="5" t="s">
        <v>3274</v>
      </c>
      <c r="C4041" s="5" t="s">
        <v>11</v>
      </c>
      <c r="D4041" s="5" t="s">
        <v>12</v>
      </c>
      <c r="E4041" s="5" t="s">
        <v>990</v>
      </c>
    </row>
    <row r="4042" spans="1:5" x14ac:dyDescent="0.25">
      <c r="A4042" s="5">
        <f>4034</f>
      </c>
      <c r="B4042" s="5" t="s">
        <v>3274</v>
      </c>
      <c r="C4042" s="5" t="s">
        <v>11</v>
      </c>
      <c r="D4042" s="5" t="s">
        <v>12</v>
      </c>
      <c r="E4042" s="5" t="s">
        <v>990</v>
      </c>
    </row>
    <row r="4043" spans="1:5" x14ac:dyDescent="0.25">
      <c r="A4043" s="5">
        <f>4035</f>
      </c>
      <c r="B4043" s="5" t="s">
        <v>3275</v>
      </c>
      <c r="C4043" s="5" t="s">
        <v>11</v>
      </c>
      <c r="D4043" s="5" t="s">
        <v>12</v>
      </c>
      <c r="E4043" s="5" t="s">
        <v>990</v>
      </c>
    </row>
    <row r="4044" spans="1:5" x14ac:dyDescent="0.25">
      <c r="A4044" s="5">
        <f>4036</f>
      </c>
      <c r="B4044" s="5" t="s">
        <v>3275</v>
      </c>
      <c r="C4044" s="5" t="s">
        <v>11</v>
      </c>
      <c r="D4044" s="5" t="s">
        <v>12</v>
      </c>
      <c r="E4044" s="5" t="s">
        <v>990</v>
      </c>
    </row>
    <row r="4045" spans="1:5" x14ac:dyDescent="0.25">
      <c r="A4045" s="5">
        <f>4037</f>
      </c>
      <c r="B4045" s="5" t="s">
        <v>3276</v>
      </c>
      <c r="C4045" s="5" t="s">
        <v>11</v>
      </c>
      <c r="D4045" s="5" t="s">
        <v>12</v>
      </c>
      <c r="E4045" s="5" t="s">
        <v>990</v>
      </c>
    </row>
    <row r="4046" spans="1:5" x14ac:dyDescent="0.25">
      <c r="A4046" s="5">
        <f>4038</f>
      </c>
      <c r="B4046" s="5" t="s">
        <v>3276</v>
      </c>
      <c r="C4046" s="5" t="s">
        <v>11</v>
      </c>
      <c r="D4046" s="5" t="s">
        <v>12</v>
      </c>
      <c r="E4046" s="5" t="s">
        <v>990</v>
      </c>
    </row>
    <row r="4047" spans="1:5" x14ac:dyDescent="0.25">
      <c r="A4047" s="5">
        <f>4039</f>
      </c>
      <c r="B4047" s="5" t="s">
        <v>3277</v>
      </c>
      <c r="C4047" s="5" t="s">
        <v>11</v>
      </c>
      <c r="D4047" s="5" t="s">
        <v>12</v>
      </c>
      <c r="E4047" s="5" t="s">
        <v>990</v>
      </c>
    </row>
    <row r="4048" spans="1:5" x14ac:dyDescent="0.25">
      <c r="A4048" s="5">
        <f>4040</f>
      </c>
      <c r="B4048" s="5" t="s">
        <v>3277</v>
      </c>
      <c r="C4048" s="5" t="s">
        <v>11</v>
      </c>
      <c r="D4048" s="5" t="s">
        <v>12</v>
      </c>
      <c r="E4048" s="5" t="s">
        <v>990</v>
      </c>
    </row>
    <row r="4049" spans="1:5" x14ac:dyDescent="0.25">
      <c r="A4049" s="5">
        <f>4041</f>
      </c>
      <c r="B4049" s="5" t="s">
        <v>3278</v>
      </c>
      <c r="C4049" s="5" t="s">
        <v>11</v>
      </c>
      <c r="D4049" s="5" t="s">
        <v>12</v>
      </c>
      <c r="E4049" s="5" t="s">
        <v>990</v>
      </c>
    </row>
    <row r="4050" spans="1:5" x14ac:dyDescent="0.25">
      <c r="A4050" s="5">
        <f>4042</f>
      </c>
      <c r="B4050" s="5" t="s">
        <v>3278</v>
      </c>
      <c r="C4050" s="5" t="s">
        <v>11</v>
      </c>
      <c r="D4050" s="5" t="s">
        <v>12</v>
      </c>
      <c r="E4050" s="5" t="s">
        <v>990</v>
      </c>
    </row>
    <row r="4051" spans="1:5" x14ac:dyDescent="0.25">
      <c r="A4051" s="5">
        <f>4043</f>
      </c>
      <c r="B4051" s="5" t="s">
        <v>3279</v>
      </c>
      <c r="C4051" s="5" t="s">
        <v>11</v>
      </c>
      <c r="D4051" s="5" t="s">
        <v>12</v>
      </c>
      <c r="E4051" s="5" t="s">
        <v>990</v>
      </c>
    </row>
    <row r="4052" spans="1:5" x14ac:dyDescent="0.25">
      <c r="A4052" s="5">
        <f>4044</f>
      </c>
      <c r="B4052" s="5" t="s">
        <v>3279</v>
      </c>
      <c r="C4052" s="5" t="s">
        <v>11</v>
      </c>
      <c r="D4052" s="5" t="s">
        <v>12</v>
      </c>
      <c r="E4052" s="5" t="s">
        <v>990</v>
      </c>
    </row>
    <row r="4053" spans="1:5" x14ac:dyDescent="0.25">
      <c r="A4053" s="5">
        <f>4045</f>
      </c>
      <c r="B4053" s="5" t="s">
        <v>3280</v>
      </c>
      <c r="C4053" s="5" t="s">
        <v>11</v>
      </c>
      <c r="D4053" s="5" t="s">
        <v>12</v>
      </c>
      <c r="E4053" s="5" t="s">
        <v>990</v>
      </c>
    </row>
    <row r="4054" spans="1:5" x14ac:dyDescent="0.25">
      <c r="A4054" s="5">
        <f>4046</f>
      </c>
      <c r="B4054" s="5" t="s">
        <v>3280</v>
      </c>
      <c r="C4054" s="5" t="s">
        <v>11</v>
      </c>
      <c r="D4054" s="5" t="s">
        <v>12</v>
      </c>
      <c r="E4054" s="5" t="s">
        <v>990</v>
      </c>
    </row>
    <row r="4055" spans="1:5" x14ac:dyDescent="0.25">
      <c r="A4055" s="5">
        <f>4047</f>
      </c>
      <c r="B4055" s="5" t="s">
        <v>3281</v>
      </c>
      <c r="C4055" s="5" t="s">
        <v>11</v>
      </c>
      <c r="D4055" s="5" t="s">
        <v>12</v>
      </c>
      <c r="E4055" s="5" t="s">
        <v>990</v>
      </c>
    </row>
    <row r="4056" spans="1:5" x14ac:dyDescent="0.25">
      <c r="A4056" s="5">
        <f>4048</f>
      </c>
      <c r="B4056" s="5" t="s">
        <v>3281</v>
      </c>
      <c r="C4056" s="5" t="s">
        <v>11</v>
      </c>
      <c r="D4056" s="5" t="s">
        <v>12</v>
      </c>
      <c r="E4056" s="5" t="s">
        <v>990</v>
      </c>
    </row>
    <row r="4057" spans="1:5" x14ac:dyDescent="0.25">
      <c r="A4057" s="5">
        <f>4049</f>
      </c>
      <c r="B4057" s="5" t="s">
        <v>3282</v>
      </c>
      <c r="C4057" s="5" t="s">
        <v>11</v>
      </c>
      <c r="D4057" s="5" t="s">
        <v>12</v>
      </c>
      <c r="E4057" s="5" t="s">
        <v>990</v>
      </c>
    </row>
    <row r="4058" spans="1:5" x14ac:dyDescent="0.25">
      <c r="A4058" s="5">
        <f>4050</f>
      </c>
      <c r="B4058" s="5" t="s">
        <v>3282</v>
      </c>
      <c r="C4058" s="5" t="s">
        <v>11</v>
      </c>
      <c r="D4058" s="5" t="s">
        <v>12</v>
      </c>
      <c r="E4058" s="5" t="s">
        <v>990</v>
      </c>
    </row>
    <row r="4059" spans="1:5" x14ac:dyDescent="0.25">
      <c r="A4059" s="5">
        <f>4051</f>
      </c>
      <c r="B4059" s="5" t="s">
        <v>3283</v>
      </c>
      <c r="C4059" s="5" t="s">
        <v>11</v>
      </c>
      <c r="D4059" s="5" t="s">
        <v>12</v>
      </c>
      <c r="E4059" s="5" t="s">
        <v>990</v>
      </c>
    </row>
    <row r="4060" spans="1:5" x14ac:dyDescent="0.25">
      <c r="A4060" s="5">
        <f>4052</f>
      </c>
      <c r="B4060" s="5" t="s">
        <v>3283</v>
      </c>
      <c r="C4060" s="5" t="s">
        <v>11</v>
      </c>
      <c r="D4060" s="5" t="s">
        <v>12</v>
      </c>
      <c r="E4060" s="5" t="s">
        <v>990</v>
      </c>
    </row>
    <row r="4061" spans="1:5" x14ac:dyDescent="0.25">
      <c r="A4061" s="5">
        <f>4053</f>
      </c>
      <c r="B4061" s="5" t="s">
        <v>3284</v>
      </c>
      <c r="C4061" s="5" t="s">
        <v>11</v>
      </c>
      <c r="D4061" s="5" t="s">
        <v>12</v>
      </c>
      <c r="E4061" s="5" t="s">
        <v>990</v>
      </c>
    </row>
    <row r="4062" spans="1:5" x14ac:dyDescent="0.25">
      <c r="A4062" s="5">
        <f>4054</f>
      </c>
      <c r="B4062" s="5" t="s">
        <v>3284</v>
      </c>
      <c r="C4062" s="5" t="s">
        <v>11</v>
      </c>
      <c r="D4062" s="5" t="s">
        <v>12</v>
      </c>
      <c r="E4062" s="5" t="s">
        <v>990</v>
      </c>
    </row>
    <row r="4063" spans="1:5" x14ac:dyDescent="0.25">
      <c r="A4063" s="5">
        <f>4055</f>
      </c>
      <c r="B4063" s="5" t="s">
        <v>3285</v>
      </c>
      <c r="C4063" s="5" t="s">
        <v>11</v>
      </c>
      <c r="D4063" s="5" t="s">
        <v>12</v>
      </c>
      <c r="E4063" s="5" t="s">
        <v>990</v>
      </c>
    </row>
    <row r="4064" spans="1:5" x14ac:dyDescent="0.25">
      <c r="A4064" s="5">
        <f>4056</f>
      </c>
      <c r="B4064" s="5" t="s">
        <v>3285</v>
      </c>
      <c r="C4064" s="5" t="s">
        <v>11</v>
      </c>
      <c r="D4064" s="5" t="s">
        <v>12</v>
      </c>
      <c r="E4064" s="5" t="s">
        <v>990</v>
      </c>
    </row>
    <row r="4065" spans="1:5" x14ac:dyDescent="0.25">
      <c r="A4065" s="5">
        <f>4057</f>
      </c>
      <c r="B4065" s="5" t="s">
        <v>3286</v>
      </c>
      <c r="C4065" s="5" t="s">
        <v>11</v>
      </c>
      <c r="D4065" s="5" t="s">
        <v>12</v>
      </c>
      <c r="E4065" s="5" t="s">
        <v>990</v>
      </c>
    </row>
    <row r="4066" spans="1:5" x14ac:dyDescent="0.25">
      <c r="A4066" s="5">
        <f>4058</f>
      </c>
      <c r="B4066" s="5" t="s">
        <v>3286</v>
      </c>
      <c r="C4066" s="5" t="s">
        <v>11</v>
      </c>
      <c r="D4066" s="5" t="s">
        <v>12</v>
      </c>
      <c r="E4066" s="5" t="s">
        <v>990</v>
      </c>
    </row>
    <row r="4067" spans="1:5" x14ac:dyDescent="0.25">
      <c r="A4067" s="5">
        <f>4059</f>
      </c>
      <c r="B4067" s="5" t="s">
        <v>3287</v>
      </c>
      <c r="C4067" s="5" t="s">
        <v>11</v>
      </c>
      <c r="D4067" s="5" t="s">
        <v>12</v>
      </c>
      <c r="E4067" s="5" t="s">
        <v>990</v>
      </c>
    </row>
    <row r="4068" spans="1:5" x14ac:dyDescent="0.25">
      <c r="A4068" s="5">
        <f>4060</f>
      </c>
      <c r="B4068" s="5" t="s">
        <v>3287</v>
      </c>
      <c r="C4068" s="5" t="s">
        <v>11</v>
      </c>
      <c r="D4068" s="5" t="s">
        <v>12</v>
      </c>
      <c r="E4068" s="5" t="s">
        <v>990</v>
      </c>
    </row>
    <row r="4069" spans="1:5" x14ac:dyDescent="0.25">
      <c r="A4069" s="5">
        <f>4061</f>
      </c>
      <c r="B4069" s="5" t="s">
        <v>3288</v>
      </c>
      <c r="C4069" s="5" t="s">
        <v>11</v>
      </c>
      <c r="D4069" s="5" t="s">
        <v>12</v>
      </c>
      <c r="E4069" s="5" t="s">
        <v>990</v>
      </c>
    </row>
    <row r="4070" spans="1:5" x14ac:dyDescent="0.25">
      <c r="A4070" s="5">
        <f>4062</f>
      </c>
      <c r="B4070" s="5" t="s">
        <v>3288</v>
      </c>
      <c r="C4070" s="5" t="s">
        <v>11</v>
      </c>
      <c r="D4070" s="5" t="s">
        <v>12</v>
      </c>
      <c r="E4070" s="5" t="s">
        <v>990</v>
      </c>
    </row>
    <row r="4071" spans="1:5" x14ac:dyDescent="0.25">
      <c r="A4071" s="5">
        <f>4063</f>
      </c>
      <c r="B4071" s="5" t="s">
        <v>3289</v>
      </c>
      <c r="C4071" s="5" t="s">
        <v>11</v>
      </c>
      <c r="D4071" s="5" t="s">
        <v>12</v>
      </c>
      <c r="E4071" s="5" t="s">
        <v>990</v>
      </c>
    </row>
    <row r="4072" spans="1:5" x14ac:dyDescent="0.25">
      <c r="A4072" s="5">
        <f>4064</f>
      </c>
      <c r="B4072" s="5" t="s">
        <v>3289</v>
      </c>
      <c r="C4072" s="5" t="s">
        <v>11</v>
      </c>
      <c r="D4072" s="5" t="s">
        <v>12</v>
      </c>
      <c r="E4072" s="5" t="s">
        <v>990</v>
      </c>
    </row>
    <row r="4073" spans="1:5" x14ac:dyDescent="0.25">
      <c r="A4073" s="5">
        <f>4065</f>
      </c>
      <c r="B4073" s="5" t="s">
        <v>3290</v>
      </c>
      <c r="C4073" s="5" t="s">
        <v>11</v>
      </c>
      <c r="D4073" s="5" t="s">
        <v>12</v>
      </c>
      <c r="E4073" s="5" t="s">
        <v>990</v>
      </c>
    </row>
    <row r="4074" spans="1:5" x14ac:dyDescent="0.25">
      <c r="A4074" s="5">
        <f>4066</f>
      </c>
      <c r="B4074" s="5" t="s">
        <v>3290</v>
      </c>
      <c r="C4074" s="5" t="s">
        <v>11</v>
      </c>
      <c r="D4074" s="5" t="s">
        <v>12</v>
      </c>
      <c r="E4074" s="5" t="s">
        <v>990</v>
      </c>
    </row>
    <row r="4075" spans="1:5" x14ac:dyDescent="0.25">
      <c r="A4075" s="5">
        <f>4067</f>
      </c>
      <c r="B4075" s="5" t="s">
        <v>3291</v>
      </c>
      <c r="C4075" s="5" t="s">
        <v>11</v>
      </c>
      <c r="D4075" s="5" t="s">
        <v>12</v>
      </c>
      <c r="E4075" s="5" t="s">
        <v>990</v>
      </c>
    </row>
    <row r="4076" spans="1:5" x14ac:dyDescent="0.25">
      <c r="A4076" s="5">
        <f>4068</f>
      </c>
      <c r="B4076" s="5" t="s">
        <v>3291</v>
      </c>
      <c r="C4076" s="5" t="s">
        <v>11</v>
      </c>
      <c r="D4076" s="5" t="s">
        <v>12</v>
      </c>
      <c r="E4076" s="5" t="s">
        <v>990</v>
      </c>
    </row>
    <row r="4077" spans="1:5" x14ac:dyDescent="0.25">
      <c r="A4077" s="5">
        <f>4069</f>
      </c>
      <c r="B4077" s="5" t="s">
        <v>3292</v>
      </c>
      <c r="C4077" s="5" t="s">
        <v>11</v>
      </c>
      <c r="D4077" s="5" t="s">
        <v>12</v>
      </c>
      <c r="E4077" s="5" t="s">
        <v>990</v>
      </c>
    </row>
    <row r="4078" spans="1:5" x14ac:dyDescent="0.25">
      <c r="A4078" s="5">
        <f>4070</f>
      </c>
      <c r="B4078" s="5" t="s">
        <v>3292</v>
      </c>
      <c r="C4078" s="5" t="s">
        <v>11</v>
      </c>
      <c r="D4078" s="5" t="s">
        <v>12</v>
      </c>
      <c r="E4078" s="5" t="s">
        <v>990</v>
      </c>
    </row>
    <row r="4079" spans="1:5" x14ac:dyDescent="0.25">
      <c r="A4079" s="5">
        <f>4071</f>
      </c>
      <c r="B4079" s="5" t="s">
        <v>3293</v>
      </c>
      <c r="C4079" s="5" t="s">
        <v>11</v>
      </c>
      <c r="D4079" s="5" t="s">
        <v>12</v>
      </c>
      <c r="E4079" s="5" t="s">
        <v>990</v>
      </c>
    </row>
    <row r="4080" spans="1:5" x14ac:dyDescent="0.25">
      <c r="A4080" s="5">
        <f>4072</f>
      </c>
      <c r="B4080" s="5" t="s">
        <v>3293</v>
      </c>
      <c r="C4080" s="5" t="s">
        <v>11</v>
      </c>
      <c r="D4080" s="5" t="s">
        <v>12</v>
      </c>
      <c r="E4080" s="5" t="s">
        <v>990</v>
      </c>
    </row>
    <row r="4081" spans="1:5" x14ac:dyDescent="0.25">
      <c r="A4081" s="5">
        <f>4073</f>
      </c>
      <c r="B4081" s="5" t="s">
        <v>3294</v>
      </c>
      <c r="C4081" s="5" t="s">
        <v>11</v>
      </c>
      <c r="D4081" s="5" t="s">
        <v>12</v>
      </c>
      <c r="E4081" s="5" t="s">
        <v>990</v>
      </c>
    </row>
    <row r="4082" spans="1:5" x14ac:dyDescent="0.25">
      <c r="A4082" s="5">
        <f>4074</f>
      </c>
      <c r="B4082" s="5" t="s">
        <v>3294</v>
      </c>
      <c r="C4082" s="5" t="s">
        <v>11</v>
      </c>
      <c r="D4082" s="5" t="s">
        <v>12</v>
      </c>
      <c r="E4082" s="5" t="s">
        <v>990</v>
      </c>
    </row>
    <row r="4083" spans="1:5" x14ac:dyDescent="0.25">
      <c r="A4083" s="5">
        <f>4075</f>
      </c>
      <c r="B4083" s="5" t="s">
        <v>3295</v>
      </c>
      <c r="C4083" s="5" t="s">
        <v>11</v>
      </c>
      <c r="D4083" s="5" t="s">
        <v>12</v>
      </c>
      <c r="E4083" s="5" t="s">
        <v>990</v>
      </c>
    </row>
    <row r="4084" spans="1:5" x14ac:dyDescent="0.25">
      <c r="A4084" s="5">
        <f>4076</f>
      </c>
      <c r="B4084" s="5" t="s">
        <v>3295</v>
      </c>
      <c r="C4084" s="5" t="s">
        <v>11</v>
      </c>
      <c r="D4084" s="5" t="s">
        <v>12</v>
      </c>
      <c r="E4084" s="5" t="s">
        <v>990</v>
      </c>
    </row>
    <row r="4085" spans="1:5" x14ac:dyDescent="0.25">
      <c r="A4085" s="5">
        <f>4077</f>
      </c>
      <c r="B4085" s="5" t="s">
        <v>3296</v>
      </c>
      <c r="C4085" s="5" t="s">
        <v>11</v>
      </c>
      <c r="D4085" s="5" t="s">
        <v>12</v>
      </c>
      <c r="E4085" s="5" t="s">
        <v>990</v>
      </c>
    </row>
    <row r="4086" spans="1:5" x14ac:dyDescent="0.25">
      <c r="A4086" s="5">
        <f>4078</f>
      </c>
      <c r="B4086" s="5" t="s">
        <v>3296</v>
      </c>
      <c r="C4086" s="5" t="s">
        <v>11</v>
      </c>
      <c r="D4086" s="5" t="s">
        <v>12</v>
      </c>
      <c r="E4086" s="5" t="s">
        <v>990</v>
      </c>
    </row>
    <row r="4087" spans="1:5" x14ac:dyDescent="0.25">
      <c r="A4087" s="5">
        <f>4079</f>
      </c>
      <c r="B4087" s="5" t="s">
        <v>3297</v>
      </c>
      <c r="C4087" s="5" t="s">
        <v>11</v>
      </c>
      <c r="D4087" s="5" t="s">
        <v>12</v>
      </c>
      <c r="E4087" s="5" t="s">
        <v>990</v>
      </c>
    </row>
    <row r="4088" spans="1:5" x14ac:dyDescent="0.25">
      <c r="A4088" s="5">
        <f>4080</f>
      </c>
      <c r="B4088" s="5" t="s">
        <v>3297</v>
      </c>
      <c r="C4088" s="5" t="s">
        <v>11</v>
      </c>
      <c r="D4088" s="5" t="s">
        <v>12</v>
      </c>
      <c r="E4088" s="5" t="s">
        <v>990</v>
      </c>
    </row>
    <row r="4089" spans="1:5" x14ac:dyDescent="0.25">
      <c r="A4089" s="5">
        <f>4081</f>
      </c>
      <c r="B4089" s="5" t="s">
        <v>3298</v>
      </c>
      <c r="C4089" s="5" t="s">
        <v>11</v>
      </c>
      <c r="D4089" s="5" t="s">
        <v>12</v>
      </c>
      <c r="E4089" s="5" t="s">
        <v>990</v>
      </c>
    </row>
    <row r="4090" spans="1:5" x14ac:dyDescent="0.25">
      <c r="A4090" s="5">
        <f>4082</f>
      </c>
      <c r="B4090" s="5" t="s">
        <v>3298</v>
      </c>
      <c r="C4090" s="5" t="s">
        <v>11</v>
      </c>
      <c r="D4090" s="5" t="s">
        <v>12</v>
      </c>
      <c r="E4090" s="5" t="s">
        <v>990</v>
      </c>
    </row>
    <row r="4091" spans="1:5" x14ac:dyDescent="0.25">
      <c r="A4091" s="5">
        <f>4083</f>
      </c>
      <c r="B4091" s="5" t="s">
        <v>3299</v>
      </c>
      <c r="C4091" s="5" t="s">
        <v>11</v>
      </c>
      <c r="D4091" s="5" t="s">
        <v>12</v>
      </c>
      <c r="E4091" s="5" t="s">
        <v>990</v>
      </c>
    </row>
    <row r="4092" spans="1:5" x14ac:dyDescent="0.25">
      <c r="A4092" s="5">
        <f>4084</f>
      </c>
      <c r="B4092" s="5" t="s">
        <v>3299</v>
      </c>
      <c r="C4092" s="5" t="s">
        <v>11</v>
      </c>
      <c r="D4092" s="5" t="s">
        <v>12</v>
      </c>
      <c r="E4092" s="5" t="s">
        <v>990</v>
      </c>
    </row>
    <row r="4093" spans="1:5" x14ac:dyDescent="0.25">
      <c r="A4093" s="5">
        <f>4085</f>
      </c>
      <c r="B4093" s="5" t="s">
        <v>3300</v>
      </c>
      <c r="C4093" s="5" t="s">
        <v>11</v>
      </c>
      <c r="D4093" s="5" t="s">
        <v>12</v>
      </c>
      <c r="E4093" s="5" t="s">
        <v>990</v>
      </c>
    </row>
    <row r="4094" spans="1:5" x14ac:dyDescent="0.25">
      <c r="A4094" s="5">
        <f>4086</f>
      </c>
      <c r="B4094" s="5" t="s">
        <v>3300</v>
      </c>
      <c r="C4094" s="5" t="s">
        <v>11</v>
      </c>
      <c r="D4094" s="5" t="s">
        <v>12</v>
      </c>
      <c r="E4094" s="5" t="s">
        <v>990</v>
      </c>
    </row>
    <row r="4095" spans="1:5" x14ac:dyDescent="0.25">
      <c r="A4095" s="5">
        <f>4087</f>
      </c>
      <c r="B4095" s="5" t="s">
        <v>3301</v>
      </c>
      <c r="C4095" s="5" t="s">
        <v>11</v>
      </c>
      <c r="D4095" s="5" t="s">
        <v>12</v>
      </c>
      <c r="E4095" s="5" t="s">
        <v>990</v>
      </c>
    </row>
    <row r="4096" spans="1:5" x14ac:dyDescent="0.25">
      <c r="A4096" s="5">
        <f>4088</f>
      </c>
      <c r="B4096" s="5" t="s">
        <v>3301</v>
      </c>
      <c r="C4096" s="5" t="s">
        <v>11</v>
      </c>
      <c r="D4096" s="5" t="s">
        <v>12</v>
      </c>
      <c r="E4096" s="5" t="s">
        <v>990</v>
      </c>
    </row>
    <row r="4097" spans="1:5" x14ac:dyDescent="0.25">
      <c r="A4097" s="5">
        <f>4089</f>
      </c>
      <c r="B4097" s="5" t="s">
        <v>3302</v>
      </c>
      <c r="C4097" s="5" t="s">
        <v>11</v>
      </c>
      <c r="D4097" s="5" t="s">
        <v>12</v>
      </c>
      <c r="E4097" s="5" t="s">
        <v>990</v>
      </c>
    </row>
    <row r="4098" spans="1:5" x14ac:dyDescent="0.25">
      <c r="A4098" s="5">
        <f>4090</f>
      </c>
      <c r="B4098" s="5" t="s">
        <v>3302</v>
      </c>
      <c r="C4098" s="5" t="s">
        <v>11</v>
      </c>
      <c r="D4098" s="5" t="s">
        <v>12</v>
      </c>
      <c r="E4098" s="5" t="s">
        <v>990</v>
      </c>
    </row>
    <row r="4099" spans="1:5" x14ac:dyDescent="0.25">
      <c r="A4099" s="5">
        <f>4091</f>
      </c>
      <c r="B4099" s="5" t="s">
        <v>3303</v>
      </c>
      <c r="C4099" s="5" t="s">
        <v>11</v>
      </c>
      <c r="D4099" s="5" t="s">
        <v>12</v>
      </c>
      <c r="E4099" s="5" t="s">
        <v>990</v>
      </c>
    </row>
    <row r="4100" spans="1:5" x14ac:dyDescent="0.25">
      <c r="A4100" s="5">
        <f>4092</f>
      </c>
      <c r="B4100" s="5" t="s">
        <v>3303</v>
      </c>
      <c r="C4100" s="5" t="s">
        <v>11</v>
      </c>
      <c r="D4100" s="5" t="s">
        <v>12</v>
      </c>
      <c r="E4100" s="5" t="s">
        <v>990</v>
      </c>
    </row>
    <row r="4101" spans="1:5" x14ac:dyDescent="0.25">
      <c r="A4101" s="5">
        <f>4093</f>
      </c>
      <c r="B4101" s="5" t="s">
        <v>3304</v>
      </c>
      <c r="C4101" s="5" t="s">
        <v>11</v>
      </c>
      <c r="D4101" s="5" t="s">
        <v>12</v>
      </c>
      <c r="E4101" s="5" t="s">
        <v>990</v>
      </c>
    </row>
    <row r="4102" spans="1:5" x14ac:dyDescent="0.25">
      <c r="A4102" s="5">
        <f>4094</f>
      </c>
      <c r="B4102" s="5" t="s">
        <v>3304</v>
      </c>
      <c r="C4102" s="5" t="s">
        <v>11</v>
      </c>
      <c r="D4102" s="5" t="s">
        <v>12</v>
      </c>
      <c r="E4102" s="5" t="s">
        <v>990</v>
      </c>
    </row>
    <row r="4103" spans="1:5" x14ac:dyDescent="0.25">
      <c r="A4103" s="5">
        <f>4095</f>
      </c>
      <c r="B4103" s="5" t="s">
        <v>3305</v>
      </c>
      <c r="C4103" s="5" t="s">
        <v>11</v>
      </c>
      <c r="D4103" s="5" t="s">
        <v>12</v>
      </c>
      <c r="E4103" s="5" t="s">
        <v>990</v>
      </c>
    </row>
    <row r="4104" spans="1:5" x14ac:dyDescent="0.25">
      <c r="A4104" s="5">
        <f>4096</f>
      </c>
      <c r="B4104" s="5" t="s">
        <v>3305</v>
      </c>
      <c r="C4104" s="5" t="s">
        <v>11</v>
      </c>
      <c r="D4104" s="5" t="s">
        <v>12</v>
      </c>
      <c r="E4104" s="5" t="s">
        <v>990</v>
      </c>
    </row>
    <row r="4105" spans="1:5" x14ac:dyDescent="0.25">
      <c r="A4105" s="5">
        <f>4097</f>
      </c>
      <c r="B4105" s="5" t="s">
        <v>3306</v>
      </c>
      <c r="C4105" s="5" t="s">
        <v>11</v>
      </c>
      <c r="D4105" s="5" t="s">
        <v>12</v>
      </c>
      <c r="E4105" s="5" t="s">
        <v>990</v>
      </c>
    </row>
    <row r="4106" spans="1:5" x14ac:dyDescent="0.25">
      <c r="A4106" s="5">
        <f>4098</f>
      </c>
      <c r="B4106" s="5" t="s">
        <v>3306</v>
      </c>
      <c r="C4106" s="5" t="s">
        <v>11</v>
      </c>
      <c r="D4106" s="5" t="s">
        <v>12</v>
      </c>
      <c r="E4106" s="5" t="s">
        <v>990</v>
      </c>
    </row>
    <row r="4107" spans="1:5" x14ac:dyDescent="0.25">
      <c r="A4107" s="5">
        <f>4099</f>
      </c>
      <c r="B4107" s="5" t="s">
        <v>3307</v>
      </c>
      <c r="C4107" s="5" t="s">
        <v>11</v>
      </c>
      <c r="D4107" s="5" t="s">
        <v>12</v>
      </c>
      <c r="E4107" s="5" t="s">
        <v>990</v>
      </c>
    </row>
    <row r="4108" spans="1:5" x14ac:dyDescent="0.25">
      <c r="A4108" s="5">
        <f>4100</f>
      </c>
      <c r="B4108" s="5" t="s">
        <v>3307</v>
      </c>
      <c r="C4108" s="5" t="s">
        <v>11</v>
      </c>
      <c r="D4108" s="5" t="s">
        <v>12</v>
      </c>
      <c r="E4108" s="5" t="s">
        <v>990</v>
      </c>
    </row>
    <row r="4109" spans="1:5" x14ac:dyDescent="0.25">
      <c r="A4109" s="5">
        <f>4101</f>
      </c>
      <c r="B4109" s="5" t="s">
        <v>3308</v>
      </c>
      <c r="C4109" s="5" t="s">
        <v>11</v>
      </c>
      <c r="D4109" s="5" t="s">
        <v>12</v>
      </c>
      <c r="E4109" s="5" t="s">
        <v>990</v>
      </c>
    </row>
    <row r="4110" spans="1:5" x14ac:dyDescent="0.25">
      <c r="A4110" s="5">
        <f>4102</f>
      </c>
      <c r="B4110" s="5" t="s">
        <v>3308</v>
      </c>
      <c r="C4110" s="5" t="s">
        <v>11</v>
      </c>
      <c r="D4110" s="5" t="s">
        <v>12</v>
      </c>
      <c r="E4110" s="5" t="s">
        <v>990</v>
      </c>
    </row>
    <row r="4111" spans="1:5" x14ac:dyDescent="0.25">
      <c r="A4111" s="5">
        <f>4103</f>
      </c>
      <c r="B4111" s="5" t="s">
        <v>3309</v>
      </c>
      <c r="C4111" s="5" t="s">
        <v>11</v>
      </c>
      <c r="D4111" s="5" t="s">
        <v>12</v>
      </c>
      <c r="E4111" s="5" t="s">
        <v>990</v>
      </c>
    </row>
    <row r="4112" spans="1:5" x14ac:dyDescent="0.25">
      <c r="A4112" s="5">
        <f>4104</f>
      </c>
      <c r="B4112" s="5" t="s">
        <v>3309</v>
      </c>
      <c r="C4112" s="5" t="s">
        <v>11</v>
      </c>
      <c r="D4112" s="5" t="s">
        <v>12</v>
      </c>
      <c r="E4112" s="5" t="s">
        <v>990</v>
      </c>
    </row>
    <row r="4113" spans="1:5" x14ac:dyDescent="0.25">
      <c r="A4113" s="5">
        <f>4105</f>
      </c>
      <c r="B4113" s="5" t="s">
        <v>3310</v>
      </c>
      <c r="C4113" s="5" t="s">
        <v>11</v>
      </c>
      <c r="D4113" s="5" t="s">
        <v>12</v>
      </c>
      <c r="E4113" s="5" t="s">
        <v>990</v>
      </c>
    </row>
    <row r="4114" spans="1:5" x14ac:dyDescent="0.25">
      <c r="A4114" s="5">
        <f>4106</f>
      </c>
      <c r="B4114" s="5" t="s">
        <v>3310</v>
      </c>
      <c r="C4114" s="5" t="s">
        <v>11</v>
      </c>
      <c r="D4114" s="5" t="s">
        <v>12</v>
      </c>
      <c r="E4114" s="5" t="s">
        <v>990</v>
      </c>
    </row>
    <row r="4115" spans="1:5" x14ac:dyDescent="0.25">
      <c r="A4115" s="5">
        <f>4107</f>
      </c>
      <c r="B4115" s="5" t="s">
        <v>3311</v>
      </c>
      <c r="C4115" s="5" t="s">
        <v>11</v>
      </c>
      <c r="D4115" s="5" t="s">
        <v>12</v>
      </c>
      <c r="E4115" s="5" t="s">
        <v>990</v>
      </c>
    </row>
    <row r="4116" spans="1:5" x14ac:dyDescent="0.25">
      <c r="A4116" s="5">
        <f>4108</f>
      </c>
      <c r="B4116" s="5" t="s">
        <v>3311</v>
      </c>
      <c r="C4116" s="5" t="s">
        <v>11</v>
      </c>
      <c r="D4116" s="5" t="s">
        <v>12</v>
      </c>
      <c r="E4116" s="5" t="s">
        <v>990</v>
      </c>
    </row>
    <row r="4117" spans="1:5" x14ac:dyDescent="0.25">
      <c r="A4117" s="5">
        <f>4109</f>
      </c>
      <c r="B4117" s="5" t="s">
        <v>3312</v>
      </c>
      <c r="C4117" s="5" t="s">
        <v>11</v>
      </c>
      <c r="D4117" s="5" t="s">
        <v>12</v>
      </c>
      <c r="E4117" s="5" t="s">
        <v>990</v>
      </c>
    </row>
    <row r="4118" spans="1:5" x14ac:dyDescent="0.25">
      <c r="A4118" s="5">
        <f>4110</f>
      </c>
      <c r="B4118" s="5" t="s">
        <v>3312</v>
      </c>
      <c r="C4118" s="5" t="s">
        <v>11</v>
      </c>
      <c r="D4118" s="5" t="s">
        <v>12</v>
      </c>
      <c r="E4118" s="5" t="s">
        <v>990</v>
      </c>
    </row>
    <row r="4119" spans="1:5" x14ac:dyDescent="0.25">
      <c r="A4119" s="5">
        <f>4111</f>
      </c>
      <c r="B4119" s="5" t="s">
        <v>3313</v>
      </c>
      <c r="C4119" s="5" t="s">
        <v>11</v>
      </c>
      <c r="D4119" s="5" t="s">
        <v>12</v>
      </c>
      <c r="E4119" s="5" t="s">
        <v>990</v>
      </c>
    </row>
    <row r="4120" spans="1:5" x14ac:dyDescent="0.25">
      <c r="A4120" s="5">
        <f>4112</f>
      </c>
      <c r="B4120" s="5" t="s">
        <v>3313</v>
      </c>
      <c r="C4120" s="5" t="s">
        <v>11</v>
      </c>
      <c r="D4120" s="5" t="s">
        <v>12</v>
      </c>
      <c r="E4120" s="5" t="s">
        <v>990</v>
      </c>
    </row>
    <row r="4121" spans="1:5" x14ac:dyDescent="0.25">
      <c r="A4121" s="5">
        <f>4113</f>
      </c>
      <c r="B4121" s="5" t="s">
        <v>3314</v>
      </c>
      <c r="C4121" s="5" t="s">
        <v>11</v>
      </c>
      <c r="D4121" s="5" t="s">
        <v>12</v>
      </c>
      <c r="E4121" s="5" t="s">
        <v>990</v>
      </c>
    </row>
    <row r="4122" spans="1:5" x14ac:dyDescent="0.25">
      <c r="A4122" s="5">
        <f>4114</f>
      </c>
      <c r="B4122" s="5" t="s">
        <v>3314</v>
      </c>
      <c r="C4122" s="5" t="s">
        <v>11</v>
      </c>
      <c r="D4122" s="5" t="s">
        <v>12</v>
      </c>
      <c r="E4122" s="5" t="s">
        <v>990</v>
      </c>
    </row>
    <row r="4123" spans="1:5" x14ac:dyDescent="0.25">
      <c r="A4123" s="5">
        <f>4115</f>
      </c>
      <c r="B4123" s="5" t="s">
        <v>3315</v>
      </c>
      <c r="C4123" s="5" t="s">
        <v>11</v>
      </c>
      <c r="D4123" s="5" t="s">
        <v>12</v>
      </c>
      <c r="E4123" s="5" t="s">
        <v>990</v>
      </c>
    </row>
    <row r="4124" spans="1:5" x14ac:dyDescent="0.25">
      <c r="A4124" s="5">
        <f>4116</f>
      </c>
      <c r="B4124" s="5" t="s">
        <v>3315</v>
      </c>
      <c r="C4124" s="5" t="s">
        <v>11</v>
      </c>
      <c r="D4124" s="5" t="s">
        <v>12</v>
      </c>
      <c r="E4124" s="5" t="s">
        <v>990</v>
      </c>
    </row>
    <row r="4125" spans="1:5" x14ac:dyDescent="0.25">
      <c r="A4125" s="5">
        <f>4117</f>
      </c>
      <c r="B4125" s="5" t="s">
        <v>3316</v>
      </c>
      <c r="C4125" s="5" t="s">
        <v>11</v>
      </c>
      <c r="D4125" s="5" t="s">
        <v>12</v>
      </c>
      <c r="E4125" s="5" t="s">
        <v>990</v>
      </c>
    </row>
    <row r="4126" spans="1:5" x14ac:dyDescent="0.25">
      <c r="A4126" s="5">
        <f>4118</f>
      </c>
      <c r="B4126" s="5" t="s">
        <v>3316</v>
      </c>
      <c r="C4126" s="5" t="s">
        <v>11</v>
      </c>
      <c r="D4126" s="5" t="s">
        <v>12</v>
      </c>
      <c r="E4126" s="5" t="s">
        <v>990</v>
      </c>
    </row>
    <row r="4127" spans="1:5" x14ac:dyDescent="0.25">
      <c r="A4127" s="5">
        <f>4119</f>
      </c>
      <c r="B4127" s="5" t="s">
        <v>3317</v>
      </c>
      <c r="C4127" s="5" t="s">
        <v>11</v>
      </c>
      <c r="D4127" s="5" t="s">
        <v>12</v>
      </c>
      <c r="E4127" s="5" t="s">
        <v>990</v>
      </c>
    </row>
    <row r="4128" spans="1:5" x14ac:dyDescent="0.25">
      <c r="A4128" s="5">
        <f>4120</f>
      </c>
      <c r="B4128" s="5" t="s">
        <v>3317</v>
      </c>
      <c r="C4128" s="5" t="s">
        <v>11</v>
      </c>
      <c r="D4128" s="5" t="s">
        <v>12</v>
      </c>
      <c r="E4128" s="5" t="s">
        <v>990</v>
      </c>
    </row>
    <row r="4129" spans="1:5" x14ac:dyDescent="0.25">
      <c r="A4129" s="5">
        <f>4121</f>
      </c>
      <c r="B4129" s="5" t="s">
        <v>3318</v>
      </c>
      <c r="C4129" s="5" t="s">
        <v>11</v>
      </c>
      <c r="D4129" s="5" t="s">
        <v>12</v>
      </c>
      <c r="E4129" s="5" t="s">
        <v>990</v>
      </c>
    </row>
    <row r="4130" spans="1:5" x14ac:dyDescent="0.25">
      <c r="A4130" s="5">
        <f>4122</f>
      </c>
      <c r="B4130" s="5" t="s">
        <v>3318</v>
      </c>
      <c r="C4130" s="5" t="s">
        <v>11</v>
      </c>
      <c r="D4130" s="5" t="s">
        <v>12</v>
      </c>
      <c r="E4130" s="5" t="s">
        <v>990</v>
      </c>
    </row>
    <row r="4131" spans="1:5" x14ac:dyDescent="0.25">
      <c r="A4131" s="5">
        <f>4123</f>
      </c>
      <c r="B4131" s="5" t="s">
        <v>3319</v>
      </c>
      <c r="C4131" s="5" t="s">
        <v>11</v>
      </c>
      <c r="D4131" s="5" t="s">
        <v>12</v>
      </c>
      <c r="E4131" s="5" t="s">
        <v>990</v>
      </c>
    </row>
    <row r="4132" spans="1:5" x14ac:dyDescent="0.25">
      <c r="A4132" s="5">
        <f>4124</f>
      </c>
      <c r="B4132" s="5" t="s">
        <v>3319</v>
      </c>
      <c r="C4132" s="5" t="s">
        <v>11</v>
      </c>
      <c r="D4132" s="5" t="s">
        <v>12</v>
      </c>
      <c r="E4132" s="5" t="s">
        <v>990</v>
      </c>
    </row>
    <row r="4133" spans="1:5" x14ac:dyDescent="0.25">
      <c r="A4133" s="5">
        <f>4125</f>
      </c>
      <c r="B4133" s="5" t="s">
        <v>3320</v>
      </c>
      <c r="C4133" s="5" t="s">
        <v>11</v>
      </c>
      <c r="D4133" s="5" t="s">
        <v>12</v>
      </c>
      <c r="E4133" s="5" t="s">
        <v>990</v>
      </c>
    </row>
    <row r="4134" spans="1:5" x14ac:dyDescent="0.25">
      <c r="A4134" s="5">
        <f>4126</f>
      </c>
      <c r="B4134" s="5" t="s">
        <v>3320</v>
      </c>
      <c r="C4134" s="5" t="s">
        <v>11</v>
      </c>
      <c r="D4134" s="5" t="s">
        <v>12</v>
      </c>
      <c r="E4134" s="5" t="s">
        <v>990</v>
      </c>
    </row>
    <row r="4135" spans="1:5" x14ac:dyDescent="0.25">
      <c r="A4135" s="5">
        <f>4127</f>
      </c>
      <c r="B4135" s="5" t="s">
        <v>3321</v>
      </c>
      <c r="C4135" s="5" t="s">
        <v>11</v>
      </c>
      <c r="D4135" s="5" t="s">
        <v>12</v>
      </c>
      <c r="E4135" s="5" t="s">
        <v>990</v>
      </c>
    </row>
    <row r="4136" spans="1:5" x14ac:dyDescent="0.25">
      <c r="A4136" s="5">
        <f>4128</f>
      </c>
      <c r="B4136" s="5" t="s">
        <v>3321</v>
      </c>
      <c r="C4136" s="5" t="s">
        <v>11</v>
      </c>
      <c r="D4136" s="5" t="s">
        <v>12</v>
      </c>
      <c r="E4136" s="5" t="s">
        <v>990</v>
      </c>
    </row>
    <row r="4137" spans="1:5" x14ac:dyDescent="0.25">
      <c r="A4137" s="5">
        <f>4129</f>
      </c>
      <c r="B4137" s="5" t="s">
        <v>3322</v>
      </c>
      <c r="C4137" s="5" t="s">
        <v>11</v>
      </c>
      <c r="D4137" s="5" t="s">
        <v>12</v>
      </c>
      <c r="E4137" s="5" t="s">
        <v>990</v>
      </c>
    </row>
    <row r="4138" spans="1:5" x14ac:dyDescent="0.25">
      <c r="A4138" s="5">
        <f>4130</f>
      </c>
      <c r="B4138" s="5" t="s">
        <v>3322</v>
      </c>
      <c r="C4138" s="5" t="s">
        <v>11</v>
      </c>
      <c r="D4138" s="5" t="s">
        <v>12</v>
      </c>
      <c r="E4138" s="5" t="s">
        <v>990</v>
      </c>
    </row>
    <row r="4139" spans="1:5" x14ac:dyDescent="0.25">
      <c r="A4139" s="5">
        <f>4131</f>
      </c>
      <c r="B4139" s="5" t="s">
        <v>3323</v>
      </c>
      <c r="C4139" s="5" t="s">
        <v>11</v>
      </c>
      <c r="D4139" s="5" t="s">
        <v>12</v>
      </c>
      <c r="E4139" s="5" t="s">
        <v>990</v>
      </c>
    </row>
    <row r="4140" spans="1:5" x14ac:dyDescent="0.25">
      <c r="A4140" s="5">
        <f>4132</f>
      </c>
      <c r="B4140" s="5" t="s">
        <v>3323</v>
      </c>
      <c r="C4140" s="5" t="s">
        <v>11</v>
      </c>
      <c r="D4140" s="5" t="s">
        <v>12</v>
      </c>
      <c r="E4140" s="5" t="s">
        <v>990</v>
      </c>
    </row>
    <row r="4141" spans="1:5" x14ac:dyDescent="0.25">
      <c r="A4141" s="5">
        <f>4133</f>
      </c>
      <c r="B4141" s="5" t="s">
        <v>3324</v>
      </c>
      <c r="C4141" s="5" t="s">
        <v>11</v>
      </c>
      <c r="D4141" s="5" t="s">
        <v>12</v>
      </c>
      <c r="E4141" s="5" t="s">
        <v>990</v>
      </c>
    </row>
    <row r="4142" spans="1:5" x14ac:dyDescent="0.25">
      <c r="A4142" s="5">
        <f>4134</f>
      </c>
      <c r="B4142" s="5" t="s">
        <v>3324</v>
      </c>
      <c r="C4142" s="5" t="s">
        <v>11</v>
      </c>
      <c r="D4142" s="5" t="s">
        <v>12</v>
      </c>
      <c r="E4142" s="5" t="s">
        <v>990</v>
      </c>
    </row>
    <row r="4143" spans="1:5" x14ac:dyDescent="0.25">
      <c r="A4143" s="5">
        <f>4135</f>
      </c>
      <c r="B4143" s="5" t="s">
        <v>3325</v>
      </c>
      <c r="C4143" s="5" t="s">
        <v>11</v>
      </c>
      <c r="D4143" s="5" t="s">
        <v>12</v>
      </c>
      <c r="E4143" s="5" t="s">
        <v>990</v>
      </c>
    </row>
    <row r="4144" spans="1:5" x14ac:dyDescent="0.25">
      <c r="A4144" s="5">
        <f>4136</f>
      </c>
      <c r="B4144" s="5" t="s">
        <v>3325</v>
      </c>
      <c r="C4144" s="5" t="s">
        <v>11</v>
      </c>
      <c r="D4144" s="5" t="s">
        <v>12</v>
      </c>
      <c r="E4144" s="5" t="s">
        <v>990</v>
      </c>
    </row>
    <row r="4145" spans="1:5" x14ac:dyDescent="0.25">
      <c r="A4145" s="5">
        <f>4137</f>
      </c>
      <c r="B4145" s="5" t="s">
        <v>3326</v>
      </c>
      <c r="C4145" s="5" t="s">
        <v>11</v>
      </c>
      <c r="D4145" s="5" t="s">
        <v>12</v>
      </c>
      <c r="E4145" s="5" t="s">
        <v>990</v>
      </c>
    </row>
    <row r="4146" spans="1:5" x14ac:dyDescent="0.25">
      <c r="A4146" s="5">
        <f>4138</f>
      </c>
      <c r="B4146" s="5" t="s">
        <v>3326</v>
      </c>
      <c r="C4146" s="5" t="s">
        <v>11</v>
      </c>
      <c r="D4146" s="5" t="s">
        <v>12</v>
      </c>
      <c r="E4146" s="5" t="s">
        <v>990</v>
      </c>
    </row>
    <row r="4147" spans="1:5" x14ac:dyDescent="0.25">
      <c r="A4147" s="5">
        <f>4139</f>
      </c>
      <c r="B4147" s="5" t="s">
        <v>3327</v>
      </c>
      <c r="C4147" s="5" t="s">
        <v>11</v>
      </c>
      <c r="D4147" s="5" t="s">
        <v>12</v>
      </c>
      <c r="E4147" s="5" t="s">
        <v>990</v>
      </c>
    </row>
    <row r="4148" spans="1:5" x14ac:dyDescent="0.25">
      <c r="A4148" s="5">
        <f>4140</f>
      </c>
      <c r="B4148" s="5" t="s">
        <v>3327</v>
      </c>
      <c r="C4148" s="5" t="s">
        <v>11</v>
      </c>
      <c r="D4148" s="5" t="s">
        <v>12</v>
      </c>
      <c r="E4148" s="5" t="s">
        <v>990</v>
      </c>
    </row>
    <row r="4149" spans="1:5" x14ac:dyDescent="0.25">
      <c r="A4149" s="5">
        <f>4141</f>
      </c>
      <c r="B4149" s="5" t="s">
        <v>3328</v>
      </c>
      <c r="C4149" s="5" t="s">
        <v>11</v>
      </c>
      <c r="D4149" s="5" t="s">
        <v>12</v>
      </c>
      <c r="E4149" s="5" t="s">
        <v>2665</v>
      </c>
    </row>
    <row r="4150" spans="1:5" x14ac:dyDescent="0.25">
      <c r="A4150" s="5">
        <f>4142</f>
      </c>
      <c r="B4150" s="5" t="s">
        <v>3328</v>
      </c>
      <c r="C4150" s="5" t="s">
        <v>11</v>
      </c>
      <c r="D4150" s="5" t="s">
        <v>12</v>
      </c>
      <c r="E4150" s="5" t="s">
        <v>2665</v>
      </c>
    </row>
    <row r="4151" spans="1:5" x14ac:dyDescent="0.25">
      <c r="A4151" s="5">
        <f>4143</f>
      </c>
      <c r="B4151" s="5" t="s">
        <v>3329</v>
      </c>
      <c r="C4151" s="5" t="s">
        <v>11</v>
      </c>
      <c r="D4151" s="5" t="s">
        <v>12</v>
      </c>
      <c r="E4151" s="5" t="s">
        <v>2665</v>
      </c>
    </row>
    <row r="4152" spans="1:5" x14ac:dyDescent="0.25">
      <c r="A4152" s="5">
        <f>4144</f>
      </c>
      <c r="B4152" s="5" t="s">
        <v>3329</v>
      </c>
      <c r="C4152" s="5" t="s">
        <v>11</v>
      </c>
      <c r="D4152" s="5" t="s">
        <v>12</v>
      </c>
      <c r="E4152" s="5" t="s">
        <v>2665</v>
      </c>
    </row>
    <row r="4153" spans="1:5" x14ac:dyDescent="0.25">
      <c r="A4153" s="5">
        <f>4145</f>
      </c>
      <c r="B4153" s="5" t="s">
        <v>3330</v>
      </c>
      <c r="C4153" s="5" t="s">
        <v>11</v>
      </c>
      <c r="D4153" s="5" t="s">
        <v>12</v>
      </c>
      <c r="E4153" s="5" t="s">
        <v>2665</v>
      </c>
    </row>
    <row r="4154" spans="1:5" x14ac:dyDescent="0.25">
      <c r="A4154" s="5">
        <f>4146</f>
      </c>
      <c r="B4154" s="5" t="s">
        <v>3330</v>
      </c>
      <c r="C4154" s="5" t="s">
        <v>11</v>
      </c>
      <c r="D4154" s="5" t="s">
        <v>12</v>
      </c>
      <c r="E4154" s="5" t="s">
        <v>2665</v>
      </c>
    </row>
    <row r="4155" spans="1:5" x14ac:dyDescent="0.25">
      <c r="A4155" s="5">
        <f>4147</f>
      </c>
      <c r="B4155" s="5" t="s">
        <v>3331</v>
      </c>
      <c r="C4155" s="5" t="s">
        <v>11</v>
      </c>
      <c r="D4155" s="5" t="s">
        <v>12</v>
      </c>
      <c r="E4155" s="5" t="s">
        <v>2665</v>
      </c>
    </row>
    <row r="4156" spans="1:5" x14ac:dyDescent="0.25">
      <c r="A4156" s="5">
        <f>4148</f>
      </c>
      <c r="B4156" s="5" t="s">
        <v>3331</v>
      </c>
      <c r="C4156" s="5" t="s">
        <v>11</v>
      </c>
      <c r="D4156" s="5" t="s">
        <v>12</v>
      </c>
      <c r="E4156" s="5" t="s">
        <v>2665</v>
      </c>
    </row>
    <row r="4157" spans="1:5" x14ac:dyDescent="0.25">
      <c r="A4157" s="5">
        <f>4149</f>
      </c>
      <c r="B4157" s="5" t="s">
        <v>3332</v>
      </c>
      <c r="C4157" s="5" t="s">
        <v>11</v>
      </c>
      <c r="D4157" s="5" t="s">
        <v>12</v>
      </c>
      <c r="E4157" s="5" t="s">
        <v>2665</v>
      </c>
    </row>
    <row r="4158" spans="1:5" x14ac:dyDescent="0.25">
      <c r="A4158" s="5">
        <f>4150</f>
      </c>
      <c r="B4158" s="5" t="s">
        <v>3332</v>
      </c>
      <c r="C4158" s="5" t="s">
        <v>11</v>
      </c>
      <c r="D4158" s="5" t="s">
        <v>12</v>
      </c>
      <c r="E4158" s="5" t="s">
        <v>2665</v>
      </c>
    </row>
    <row r="4159" spans="1:5" x14ac:dyDescent="0.25">
      <c r="A4159" s="5">
        <f>4151</f>
      </c>
      <c r="B4159" s="5" t="s">
        <v>3333</v>
      </c>
      <c r="C4159" s="5" t="s">
        <v>11</v>
      </c>
      <c r="D4159" s="5" t="s">
        <v>12</v>
      </c>
      <c r="E4159" s="5" t="s">
        <v>2665</v>
      </c>
    </row>
    <row r="4160" spans="1:5" x14ac:dyDescent="0.25">
      <c r="A4160" s="5">
        <f>4152</f>
      </c>
      <c r="B4160" s="5" t="s">
        <v>3333</v>
      </c>
      <c r="C4160" s="5" t="s">
        <v>11</v>
      </c>
      <c r="D4160" s="5" t="s">
        <v>12</v>
      </c>
      <c r="E4160" s="5" t="s">
        <v>2665</v>
      </c>
    </row>
    <row r="4161" spans="1:5" x14ac:dyDescent="0.25">
      <c r="A4161" s="5">
        <f>4153</f>
      </c>
      <c r="B4161" s="5" t="s">
        <v>3334</v>
      </c>
      <c r="C4161" s="5" t="s">
        <v>11</v>
      </c>
      <c r="D4161" s="5" t="s">
        <v>12</v>
      </c>
      <c r="E4161" s="5" t="s">
        <v>2665</v>
      </c>
    </row>
    <row r="4162" spans="1:5" x14ac:dyDescent="0.25">
      <c r="A4162" s="5">
        <f>4154</f>
      </c>
      <c r="B4162" s="5" t="s">
        <v>3334</v>
      </c>
      <c r="C4162" s="5" t="s">
        <v>11</v>
      </c>
      <c r="D4162" s="5" t="s">
        <v>12</v>
      </c>
      <c r="E4162" s="5" t="s">
        <v>2665</v>
      </c>
    </row>
    <row r="4163" spans="1:5" x14ac:dyDescent="0.25">
      <c r="A4163" s="5">
        <f>4155</f>
      </c>
      <c r="B4163" s="5" t="s">
        <v>3335</v>
      </c>
      <c r="C4163" s="5" t="s">
        <v>11</v>
      </c>
      <c r="D4163" s="5" t="s">
        <v>12</v>
      </c>
      <c r="E4163" s="5" t="s">
        <v>2665</v>
      </c>
    </row>
    <row r="4164" spans="1:5" x14ac:dyDescent="0.25">
      <c r="A4164" s="5">
        <f>4156</f>
      </c>
      <c r="B4164" s="5" t="s">
        <v>3335</v>
      </c>
      <c r="C4164" s="5" t="s">
        <v>11</v>
      </c>
      <c r="D4164" s="5" t="s">
        <v>12</v>
      </c>
      <c r="E4164" s="5" t="s">
        <v>2665</v>
      </c>
    </row>
    <row r="4165" spans="1:5" x14ac:dyDescent="0.25">
      <c r="A4165" s="5">
        <f>4157</f>
      </c>
      <c r="B4165" s="5" t="s">
        <v>3336</v>
      </c>
      <c r="C4165" s="5" t="s">
        <v>11</v>
      </c>
      <c r="D4165" s="5" t="s">
        <v>12</v>
      </c>
      <c r="E4165" s="5" t="s">
        <v>2665</v>
      </c>
    </row>
    <row r="4166" spans="1:5" x14ac:dyDescent="0.25">
      <c r="A4166" s="5">
        <f>4158</f>
      </c>
      <c r="B4166" s="5" t="s">
        <v>3336</v>
      </c>
      <c r="C4166" s="5" t="s">
        <v>11</v>
      </c>
      <c r="D4166" s="5" t="s">
        <v>12</v>
      </c>
      <c r="E4166" s="5" t="s">
        <v>2665</v>
      </c>
    </row>
    <row r="4167" spans="1:5" x14ac:dyDescent="0.25">
      <c r="A4167" s="5">
        <f>4159</f>
      </c>
      <c r="B4167" s="5" t="s">
        <v>3337</v>
      </c>
      <c r="C4167" s="5" t="s">
        <v>11</v>
      </c>
      <c r="D4167" s="5" t="s">
        <v>12</v>
      </c>
      <c r="E4167" s="5" t="s">
        <v>2665</v>
      </c>
    </row>
    <row r="4168" spans="1:5" x14ac:dyDescent="0.25">
      <c r="A4168" s="5">
        <f>4160</f>
      </c>
      <c r="B4168" s="5" t="s">
        <v>3337</v>
      </c>
      <c r="C4168" s="5" t="s">
        <v>11</v>
      </c>
      <c r="D4168" s="5" t="s">
        <v>12</v>
      </c>
      <c r="E4168" s="5" t="s">
        <v>2665</v>
      </c>
    </row>
    <row r="4169" spans="1:5" x14ac:dyDescent="0.25">
      <c r="A4169" s="5">
        <f>4161</f>
      </c>
      <c r="B4169" s="5" t="s">
        <v>3338</v>
      </c>
      <c r="C4169" s="5" t="s">
        <v>11</v>
      </c>
      <c r="D4169" s="5" t="s">
        <v>12</v>
      </c>
      <c r="E4169" s="5" t="s">
        <v>2665</v>
      </c>
    </row>
    <row r="4170" spans="1:5" x14ac:dyDescent="0.25">
      <c r="A4170" s="5">
        <f>4162</f>
      </c>
      <c r="B4170" s="5" t="s">
        <v>3338</v>
      </c>
      <c r="C4170" s="5" t="s">
        <v>11</v>
      </c>
      <c r="D4170" s="5" t="s">
        <v>12</v>
      </c>
      <c r="E4170" s="5" t="s">
        <v>2665</v>
      </c>
    </row>
    <row r="4171" spans="1:5" x14ac:dyDescent="0.25">
      <c r="A4171" s="5">
        <f>4163</f>
      </c>
      <c r="B4171" s="5" t="s">
        <v>3339</v>
      </c>
      <c r="C4171" s="5" t="s">
        <v>11</v>
      </c>
      <c r="D4171" s="5" t="s">
        <v>12</v>
      </c>
      <c r="E4171" s="5" t="s">
        <v>2665</v>
      </c>
    </row>
    <row r="4172" spans="1:5" x14ac:dyDescent="0.25">
      <c r="A4172" s="5">
        <f>4164</f>
      </c>
      <c r="B4172" s="5" t="s">
        <v>3339</v>
      </c>
      <c r="C4172" s="5" t="s">
        <v>11</v>
      </c>
      <c r="D4172" s="5" t="s">
        <v>12</v>
      </c>
      <c r="E4172" s="5" t="s">
        <v>2665</v>
      </c>
    </row>
    <row r="4173" spans="1:5" x14ac:dyDescent="0.25">
      <c r="A4173" s="5">
        <f>4165</f>
      </c>
      <c r="B4173" s="5" t="s">
        <v>3340</v>
      </c>
      <c r="C4173" s="5" t="s">
        <v>11</v>
      </c>
      <c r="D4173" s="5" t="s">
        <v>12</v>
      </c>
      <c r="E4173" s="5" t="s">
        <v>2665</v>
      </c>
    </row>
    <row r="4174" spans="1:5" x14ac:dyDescent="0.25">
      <c r="A4174" s="5">
        <f>4166</f>
      </c>
      <c r="B4174" s="5" t="s">
        <v>3340</v>
      </c>
      <c r="C4174" s="5" t="s">
        <v>11</v>
      </c>
      <c r="D4174" s="5" t="s">
        <v>12</v>
      </c>
      <c r="E4174" s="5" t="s">
        <v>2665</v>
      </c>
    </row>
    <row r="4175" spans="1:5" x14ac:dyDescent="0.25">
      <c r="A4175" s="5">
        <f>4167</f>
      </c>
      <c r="B4175" s="5" t="s">
        <v>3341</v>
      </c>
      <c r="C4175" s="5" t="s">
        <v>11</v>
      </c>
      <c r="D4175" s="5" t="s">
        <v>12</v>
      </c>
      <c r="E4175" s="5" t="s">
        <v>2665</v>
      </c>
    </row>
    <row r="4176" spans="1:5" x14ac:dyDescent="0.25">
      <c r="A4176" s="5">
        <f>4168</f>
      </c>
      <c r="B4176" s="5" t="s">
        <v>3341</v>
      </c>
      <c r="C4176" s="5" t="s">
        <v>11</v>
      </c>
      <c r="D4176" s="5" t="s">
        <v>12</v>
      </c>
      <c r="E4176" s="5" t="s">
        <v>2665</v>
      </c>
    </row>
    <row r="4177" spans="1:5" x14ac:dyDescent="0.25">
      <c r="A4177" s="5">
        <f>4169</f>
      </c>
      <c r="B4177" s="5" t="s">
        <v>3342</v>
      </c>
      <c r="C4177" s="5" t="s">
        <v>11</v>
      </c>
      <c r="D4177" s="5" t="s">
        <v>12</v>
      </c>
      <c r="E4177" s="5" t="s">
        <v>2665</v>
      </c>
    </row>
    <row r="4178" spans="1:5" x14ac:dyDescent="0.25">
      <c r="A4178" s="5">
        <f>4170</f>
      </c>
      <c r="B4178" s="5" t="s">
        <v>3342</v>
      </c>
      <c r="C4178" s="5" t="s">
        <v>11</v>
      </c>
      <c r="D4178" s="5" t="s">
        <v>12</v>
      </c>
      <c r="E4178" s="5" t="s">
        <v>2665</v>
      </c>
    </row>
    <row r="4179" spans="1:5" x14ac:dyDescent="0.25">
      <c r="A4179" s="5">
        <f>4171</f>
      </c>
      <c r="B4179" s="5" t="s">
        <v>3343</v>
      </c>
      <c r="C4179" s="5" t="s">
        <v>11</v>
      </c>
      <c r="D4179" s="5" t="s">
        <v>12</v>
      </c>
      <c r="E4179" s="5" t="s">
        <v>2665</v>
      </c>
    </row>
    <row r="4180" spans="1:5" x14ac:dyDescent="0.25">
      <c r="A4180" s="5">
        <f>4172</f>
      </c>
      <c r="B4180" s="5" t="s">
        <v>3343</v>
      </c>
      <c r="C4180" s="5" t="s">
        <v>11</v>
      </c>
      <c r="D4180" s="5" t="s">
        <v>12</v>
      </c>
      <c r="E4180" s="5" t="s">
        <v>2665</v>
      </c>
    </row>
    <row r="4181" spans="1:5" x14ac:dyDescent="0.25">
      <c r="A4181" s="5">
        <f>4173</f>
      </c>
      <c r="B4181" s="5" t="s">
        <v>3344</v>
      </c>
      <c r="C4181" s="5" t="s">
        <v>11</v>
      </c>
      <c r="D4181" s="5" t="s">
        <v>12</v>
      </c>
      <c r="E4181" s="5" t="s">
        <v>2665</v>
      </c>
    </row>
    <row r="4182" spans="1:5" x14ac:dyDescent="0.25">
      <c r="A4182" s="5">
        <f>4174</f>
      </c>
      <c r="B4182" s="5" t="s">
        <v>3344</v>
      </c>
      <c r="C4182" s="5" t="s">
        <v>11</v>
      </c>
      <c r="D4182" s="5" t="s">
        <v>12</v>
      </c>
      <c r="E4182" s="5" t="s">
        <v>2665</v>
      </c>
    </row>
    <row r="4183" spans="1:5" x14ac:dyDescent="0.25">
      <c r="A4183" s="5">
        <f>4175</f>
      </c>
      <c r="B4183" s="5" t="s">
        <v>3345</v>
      </c>
      <c r="C4183" s="5" t="s">
        <v>11</v>
      </c>
      <c r="D4183" s="5" t="s">
        <v>12</v>
      </c>
      <c r="E4183" s="5" t="s">
        <v>2665</v>
      </c>
    </row>
    <row r="4184" spans="1:5" x14ac:dyDescent="0.25">
      <c r="A4184" s="5">
        <f>4176</f>
      </c>
      <c r="B4184" s="5" t="s">
        <v>3345</v>
      </c>
      <c r="C4184" s="5" t="s">
        <v>11</v>
      </c>
      <c r="D4184" s="5" t="s">
        <v>12</v>
      </c>
      <c r="E4184" s="5" t="s">
        <v>2665</v>
      </c>
    </row>
    <row r="4185" spans="1:5" x14ac:dyDescent="0.25">
      <c r="A4185" s="5">
        <f>4177</f>
      </c>
      <c r="B4185" s="5" t="s">
        <v>3346</v>
      </c>
      <c r="C4185" s="5" t="s">
        <v>11</v>
      </c>
      <c r="D4185" s="5" t="s">
        <v>12</v>
      </c>
      <c r="E4185" s="5" t="s">
        <v>2665</v>
      </c>
    </row>
    <row r="4186" spans="1:5" x14ac:dyDescent="0.25">
      <c r="A4186" s="5">
        <f>4178</f>
      </c>
      <c r="B4186" s="5" t="s">
        <v>3346</v>
      </c>
      <c r="C4186" s="5" t="s">
        <v>11</v>
      </c>
      <c r="D4186" s="5" t="s">
        <v>12</v>
      </c>
      <c r="E4186" s="5" t="s">
        <v>2665</v>
      </c>
    </row>
    <row r="4187" spans="1:5" x14ac:dyDescent="0.25">
      <c r="A4187" s="5">
        <f>4179</f>
      </c>
      <c r="B4187" s="5" t="s">
        <v>3347</v>
      </c>
      <c r="C4187" s="5" t="s">
        <v>11</v>
      </c>
      <c r="D4187" s="5" t="s">
        <v>12</v>
      </c>
      <c r="E4187" s="5" t="s">
        <v>2665</v>
      </c>
    </row>
    <row r="4188" spans="1:5" x14ac:dyDescent="0.25">
      <c r="A4188" s="5">
        <f>4180</f>
      </c>
      <c r="B4188" s="5" t="s">
        <v>3347</v>
      </c>
      <c r="C4188" s="5" t="s">
        <v>11</v>
      </c>
      <c r="D4188" s="5" t="s">
        <v>12</v>
      </c>
      <c r="E4188" s="5" t="s">
        <v>2665</v>
      </c>
    </row>
    <row r="4189" spans="1:5" x14ac:dyDescent="0.25">
      <c r="A4189" s="5">
        <f>4181</f>
      </c>
      <c r="B4189" s="5" t="s">
        <v>3348</v>
      </c>
      <c r="C4189" s="5" t="s">
        <v>11</v>
      </c>
      <c r="D4189" s="5" t="s">
        <v>12</v>
      </c>
      <c r="E4189" s="5" t="s">
        <v>2665</v>
      </c>
    </row>
    <row r="4190" spans="1:5" x14ac:dyDescent="0.25">
      <c r="A4190" s="5">
        <f>4182</f>
      </c>
      <c r="B4190" s="5" t="s">
        <v>3348</v>
      </c>
      <c r="C4190" s="5" t="s">
        <v>11</v>
      </c>
      <c r="D4190" s="5" t="s">
        <v>12</v>
      </c>
      <c r="E4190" s="5" t="s">
        <v>2665</v>
      </c>
    </row>
    <row r="4191" spans="1:5" x14ac:dyDescent="0.25">
      <c r="A4191" s="5">
        <f>4183</f>
      </c>
      <c r="B4191" s="5" t="s">
        <v>3349</v>
      </c>
      <c r="C4191" s="5" t="s">
        <v>11</v>
      </c>
      <c r="D4191" s="5" t="s">
        <v>12</v>
      </c>
      <c r="E4191" s="5" t="s">
        <v>2665</v>
      </c>
    </row>
    <row r="4192" spans="1:5" x14ac:dyDescent="0.25">
      <c r="A4192" s="5">
        <f>4184</f>
      </c>
      <c r="B4192" s="5" t="s">
        <v>3349</v>
      </c>
      <c r="C4192" s="5" t="s">
        <v>11</v>
      </c>
      <c r="D4192" s="5" t="s">
        <v>12</v>
      </c>
      <c r="E4192" s="5" t="s">
        <v>2665</v>
      </c>
    </row>
    <row r="4193" spans="1:5" x14ac:dyDescent="0.25">
      <c r="A4193" s="5">
        <f>4185</f>
      </c>
      <c r="B4193" s="5" t="s">
        <v>3350</v>
      </c>
      <c r="C4193" s="5" t="s">
        <v>11</v>
      </c>
      <c r="D4193" s="5" t="s">
        <v>12</v>
      </c>
      <c r="E4193" s="5" t="s">
        <v>2665</v>
      </c>
    </row>
    <row r="4194" spans="1:5" x14ac:dyDescent="0.25">
      <c r="A4194" s="5">
        <f>4186</f>
      </c>
      <c r="B4194" s="5" t="s">
        <v>3350</v>
      </c>
      <c r="C4194" s="5" t="s">
        <v>11</v>
      </c>
      <c r="D4194" s="5" t="s">
        <v>12</v>
      </c>
      <c r="E4194" s="5" t="s">
        <v>2665</v>
      </c>
    </row>
    <row r="4195" spans="1:5" x14ac:dyDescent="0.25">
      <c r="A4195" s="5">
        <f>4187</f>
      </c>
      <c r="B4195" s="5" t="s">
        <v>3351</v>
      </c>
      <c r="C4195" s="5" t="s">
        <v>11</v>
      </c>
      <c r="D4195" s="5" t="s">
        <v>12</v>
      </c>
      <c r="E4195" s="5" t="s">
        <v>2665</v>
      </c>
    </row>
    <row r="4196" spans="1:5" x14ac:dyDescent="0.25">
      <c r="A4196" s="5">
        <f>4188</f>
      </c>
      <c r="B4196" s="5" t="s">
        <v>3351</v>
      </c>
      <c r="C4196" s="5" t="s">
        <v>11</v>
      </c>
      <c r="D4196" s="5" t="s">
        <v>12</v>
      </c>
      <c r="E4196" s="5" t="s">
        <v>2665</v>
      </c>
    </row>
    <row r="4197" spans="1:5" x14ac:dyDescent="0.25">
      <c r="A4197" s="5">
        <f>4189</f>
      </c>
      <c r="B4197" s="5" t="s">
        <v>3352</v>
      </c>
      <c r="C4197" s="5" t="s">
        <v>11</v>
      </c>
      <c r="D4197" s="5" t="s">
        <v>12</v>
      </c>
      <c r="E4197" s="5" t="s">
        <v>2665</v>
      </c>
    </row>
    <row r="4198" spans="1:5" x14ac:dyDescent="0.25">
      <c r="A4198" s="5">
        <f>4190</f>
      </c>
      <c r="B4198" s="5" t="s">
        <v>3352</v>
      </c>
      <c r="C4198" s="5" t="s">
        <v>11</v>
      </c>
      <c r="D4198" s="5" t="s">
        <v>12</v>
      </c>
      <c r="E4198" s="5" t="s">
        <v>2665</v>
      </c>
    </row>
    <row r="4199" spans="1:5" x14ac:dyDescent="0.25">
      <c r="A4199" s="5">
        <f>4191</f>
      </c>
      <c r="B4199" s="5" t="s">
        <v>3353</v>
      </c>
      <c r="C4199" s="5" t="s">
        <v>11</v>
      </c>
      <c r="D4199" s="5" t="s">
        <v>12</v>
      </c>
      <c r="E4199" s="5" t="s">
        <v>2665</v>
      </c>
    </row>
    <row r="4200" spans="1:5" x14ac:dyDescent="0.25">
      <c r="A4200" s="5">
        <f>4192</f>
      </c>
      <c r="B4200" s="5" t="s">
        <v>3353</v>
      </c>
      <c r="C4200" s="5" t="s">
        <v>11</v>
      </c>
      <c r="D4200" s="5" t="s">
        <v>12</v>
      </c>
      <c r="E4200" s="5" t="s">
        <v>2665</v>
      </c>
    </row>
    <row r="4201" spans="1:5" x14ac:dyDescent="0.25">
      <c r="A4201" s="5">
        <f>4193</f>
      </c>
      <c r="B4201" s="5" t="s">
        <v>3354</v>
      </c>
      <c r="C4201" s="5" t="s">
        <v>11</v>
      </c>
      <c r="D4201" s="5" t="s">
        <v>12</v>
      </c>
      <c r="E4201" s="5" t="s">
        <v>2665</v>
      </c>
    </row>
    <row r="4202" spans="1:5" x14ac:dyDescent="0.25">
      <c r="A4202" s="5">
        <f>4194</f>
      </c>
      <c r="B4202" s="5" t="s">
        <v>3354</v>
      </c>
      <c r="C4202" s="5" t="s">
        <v>11</v>
      </c>
      <c r="D4202" s="5" t="s">
        <v>12</v>
      </c>
      <c r="E4202" s="5" t="s">
        <v>2665</v>
      </c>
    </row>
    <row r="4203" spans="1:5" x14ac:dyDescent="0.25">
      <c r="A4203" s="5">
        <f>4195</f>
      </c>
      <c r="B4203" s="5" t="s">
        <v>3355</v>
      </c>
      <c r="C4203" s="5" t="s">
        <v>11</v>
      </c>
      <c r="D4203" s="5" t="s">
        <v>12</v>
      </c>
      <c r="E4203" s="5" t="s">
        <v>2665</v>
      </c>
    </row>
    <row r="4204" spans="1:5" x14ac:dyDescent="0.25">
      <c r="A4204" s="5">
        <f>4196</f>
      </c>
      <c r="B4204" s="5" t="s">
        <v>3355</v>
      </c>
      <c r="C4204" s="5" t="s">
        <v>11</v>
      </c>
      <c r="D4204" s="5" t="s">
        <v>12</v>
      </c>
      <c r="E4204" s="5" t="s">
        <v>2665</v>
      </c>
    </row>
    <row r="4205" spans="1:5" x14ac:dyDescent="0.25">
      <c r="A4205" s="5">
        <f>4197</f>
      </c>
      <c r="B4205" s="5" t="s">
        <v>3356</v>
      </c>
      <c r="C4205" s="5" t="s">
        <v>11</v>
      </c>
      <c r="D4205" s="5" t="s">
        <v>12</v>
      </c>
      <c r="E4205" s="5" t="s">
        <v>2665</v>
      </c>
    </row>
    <row r="4206" spans="1:5" x14ac:dyDescent="0.25">
      <c r="A4206" s="5">
        <f>4198</f>
      </c>
      <c r="B4206" s="5" t="s">
        <v>3356</v>
      </c>
      <c r="C4206" s="5" t="s">
        <v>11</v>
      </c>
      <c r="D4206" s="5" t="s">
        <v>12</v>
      </c>
      <c r="E4206" s="5" t="s">
        <v>2665</v>
      </c>
    </row>
    <row r="4207" spans="1:5" x14ac:dyDescent="0.25">
      <c r="A4207" s="5">
        <f>4199</f>
      </c>
      <c r="B4207" s="5" t="s">
        <v>3357</v>
      </c>
      <c r="C4207" s="5" t="s">
        <v>11</v>
      </c>
      <c r="D4207" s="5" t="s">
        <v>12</v>
      </c>
      <c r="E4207" s="5" t="s">
        <v>2665</v>
      </c>
    </row>
    <row r="4208" spans="1:5" x14ac:dyDescent="0.25">
      <c r="A4208" s="5">
        <f>4200</f>
      </c>
      <c r="B4208" s="5" t="s">
        <v>3357</v>
      </c>
      <c r="C4208" s="5" t="s">
        <v>11</v>
      </c>
      <c r="D4208" s="5" t="s">
        <v>12</v>
      </c>
      <c r="E4208" s="5" t="s">
        <v>2665</v>
      </c>
    </row>
    <row r="4209" spans="1:5" x14ac:dyDescent="0.25">
      <c r="A4209" s="5">
        <f>4201</f>
      </c>
      <c r="B4209" s="5" t="s">
        <v>3358</v>
      </c>
      <c r="C4209" s="5" t="s">
        <v>11</v>
      </c>
      <c r="D4209" s="5" t="s">
        <v>12</v>
      </c>
      <c r="E4209" s="5" t="s">
        <v>2665</v>
      </c>
    </row>
    <row r="4210" spans="1:5" x14ac:dyDescent="0.25">
      <c r="A4210" s="5">
        <f>4202</f>
      </c>
      <c r="B4210" s="5" t="s">
        <v>3358</v>
      </c>
      <c r="C4210" s="5" t="s">
        <v>11</v>
      </c>
      <c r="D4210" s="5" t="s">
        <v>12</v>
      </c>
      <c r="E4210" s="5" t="s">
        <v>2665</v>
      </c>
    </row>
    <row r="4211" spans="1:5" x14ac:dyDescent="0.25">
      <c r="A4211" s="5">
        <f>4203</f>
      </c>
      <c r="B4211" s="5" t="s">
        <v>3359</v>
      </c>
      <c r="C4211" s="5" t="s">
        <v>11</v>
      </c>
      <c r="D4211" s="5" t="s">
        <v>12</v>
      </c>
      <c r="E4211" s="5" t="s">
        <v>2665</v>
      </c>
    </row>
    <row r="4212" spans="1:5" x14ac:dyDescent="0.25">
      <c r="A4212" s="5">
        <f>4204</f>
      </c>
      <c r="B4212" s="5" t="s">
        <v>3359</v>
      </c>
      <c r="C4212" s="5" t="s">
        <v>11</v>
      </c>
      <c r="D4212" s="5" t="s">
        <v>12</v>
      </c>
      <c r="E4212" s="5" t="s">
        <v>2665</v>
      </c>
    </row>
    <row r="4213" spans="1:5" x14ac:dyDescent="0.25">
      <c r="A4213" s="5">
        <f>4205</f>
      </c>
      <c r="B4213" s="5" t="s">
        <v>3360</v>
      </c>
      <c r="C4213" s="5" t="s">
        <v>11</v>
      </c>
      <c r="D4213" s="5" t="s">
        <v>12</v>
      </c>
      <c r="E4213" s="5" t="s">
        <v>2665</v>
      </c>
    </row>
    <row r="4214" spans="1:5" x14ac:dyDescent="0.25">
      <c r="A4214" s="5">
        <f>4206</f>
      </c>
      <c r="B4214" s="5" t="s">
        <v>3360</v>
      </c>
      <c r="C4214" s="5" t="s">
        <v>11</v>
      </c>
      <c r="D4214" s="5" t="s">
        <v>12</v>
      </c>
      <c r="E4214" s="5" t="s">
        <v>2665</v>
      </c>
    </row>
    <row r="4215" spans="1:5" x14ac:dyDescent="0.25">
      <c r="A4215" s="5">
        <f>4207</f>
      </c>
      <c r="B4215" s="5" t="s">
        <v>3361</v>
      </c>
      <c r="C4215" s="5" t="s">
        <v>11</v>
      </c>
      <c r="D4215" s="5" t="s">
        <v>12</v>
      </c>
      <c r="E4215" s="5" t="s">
        <v>2665</v>
      </c>
    </row>
    <row r="4216" spans="1:5" x14ac:dyDescent="0.25">
      <c r="A4216" s="5">
        <f>4208</f>
      </c>
      <c r="B4216" s="5" t="s">
        <v>3361</v>
      </c>
      <c r="C4216" s="5" t="s">
        <v>11</v>
      </c>
      <c r="D4216" s="5" t="s">
        <v>12</v>
      </c>
      <c r="E4216" s="5" t="s">
        <v>2665</v>
      </c>
    </row>
    <row r="4217" spans="1:5" x14ac:dyDescent="0.25">
      <c r="A4217" s="5">
        <f>4209</f>
      </c>
      <c r="B4217" s="5" t="s">
        <v>3362</v>
      </c>
      <c r="C4217" s="5" t="s">
        <v>11</v>
      </c>
      <c r="D4217" s="5" t="s">
        <v>12</v>
      </c>
      <c r="E4217" s="5" t="s">
        <v>2665</v>
      </c>
    </row>
    <row r="4218" spans="1:5" x14ac:dyDescent="0.25">
      <c r="A4218" s="5">
        <f>4210</f>
      </c>
      <c r="B4218" s="5" t="s">
        <v>3362</v>
      </c>
      <c r="C4218" s="5" t="s">
        <v>11</v>
      </c>
      <c r="D4218" s="5" t="s">
        <v>12</v>
      </c>
      <c r="E4218" s="5" t="s">
        <v>2665</v>
      </c>
    </row>
    <row r="4219" spans="1:5" x14ac:dyDescent="0.25">
      <c r="A4219" s="5">
        <f>4211</f>
      </c>
      <c r="B4219" s="5" t="s">
        <v>3363</v>
      </c>
      <c r="C4219" s="5" t="s">
        <v>11</v>
      </c>
      <c r="D4219" s="5" t="s">
        <v>12</v>
      </c>
      <c r="E4219" s="5" t="s">
        <v>2665</v>
      </c>
    </row>
    <row r="4220" spans="1:5" x14ac:dyDescent="0.25">
      <c r="A4220" s="5">
        <f>4212</f>
      </c>
      <c r="B4220" s="5" t="s">
        <v>3363</v>
      </c>
      <c r="C4220" s="5" t="s">
        <v>11</v>
      </c>
      <c r="D4220" s="5" t="s">
        <v>12</v>
      </c>
      <c r="E4220" s="5" t="s">
        <v>2665</v>
      </c>
    </row>
    <row r="4221" spans="1:5" x14ac:dyDescent="0.25">
      <c r="A4221" s="5">
        <f>4213</f>
      </c>
      <c r="B4221" s="5" t="s">
        <v>3364</v>
      </c>
      <c r="C4221" s="5" t="s">
        <v>11</v>
      </c>
      <c r="D4221" s="5" t="s">
        <v>12</v>
      </c>
      <c r="E4221" s="5" t="s">
        <v>2883</v>
      </c>
    </row>
    <row r="4222" spans="1:5" x14ac:dyDescent="0.25">
      <c r="A4222" s="5">
        <f>4214</f>
      </c>
      <c r="B4222" s="5" t="s">
        <v>3365</v>
      </c>
      <c r="C4222" s="5" t="s">
        <v>11</v>
      </c>
      <c r="D4222" s="5" t="s">
        <v>12</v>
      </c>
      <c r="E4222" s="5" t="s">
        <v>2883</v>
      </c>
    </row>
    <row r="4223" spans="1:5" x14ac:dyDescent="0.25">
      <c r="A4223" s="5">
        <f>4215</f>
      </c>
      <c r="B4223" s="5" t="s">
        <v>3366</v>
      </c>
      <c r="C4223" s="5" t="s">
        <v>11</v>
      </c>
      <c r="D4223" s="5" t="s">
        <v>12</v>
      </c>
      <c r="E4223" s="5" t="s">
        <v>3367</v>
      </c>
    </row>
    <row r="4224" spans="1:5" x14ac:dyDescent="0.25">
      <c r="A4224" s="5">
        <f>4216</f>
      </c>
      <c r="B4224" s="5" t="s">
        <v>3368</v>
      </c>
      <c r="C4224" s="5" t="s">
        <v>11</v>
      </c>
      <c r="D4224" s="5" t="s">
        <v>12</v>
      </c>
      <c r="E4224" s="5" t="s">
        <v>2616</v>
      </c>
    </row>
    <row r="4225" spans="1:5" x14ac:dyDescent="0.25">
      <c r="A4225" s="5">
        <f>4217</f>
      </c>
      <c r="B4225" s="5" t="s">
        <v>3369</v>
      </c>
      <c r="C4225" s="5" t="s">
        <v>11</v>
      </c>
      <c r="D4225" s="5" t="s">
        <v>12</v>
      </c>
      <c r="E4225" s="5" t="s">
        <v>1022</v>
      </c>
    </row>
    <row r="4226" spans="1:5" x14ac:dyDescent="0.25">
      <c r="A4226" s="5">
        <f>4218</f>
      </c>
      <c r="B4226" s="5" t="s">
        <v>3370</v>
      </c>
      <c r="C4226" s="5" t="s">
        <v>11</v>
      </c>
      <c r="D4226" s="5" t="s">
        <v>12</v>
      </c>
      <c r="E4226" s="5" t="s">
        <v>2412</v>
      </c>
    </row>
    <row r="4227" spans="1:5" x14ac:dyDescent="0.25">
      <c r="A4227" s="5">
        <f>4219</f>
      </c>
      <c r="B4227" s="5" t="s">
        <v>3371</v>
      </c>
      <c r="C4227" s="5" t="s">
        <v>11</v>
      </c>
      <c r="D4227" s="5" t="s">
        <v>12</v>
      </c>
      <c r="E4227" s="5" t="s">
        <v>2412</v>
      </c>
    </row>
    <row r="4228" spans="1:5" x14ac:dyDescent="0.25">
      <c r="A4228" s="5">
        <f>4220</f>
      </c>
      <c r="B4228" s="5" t="s">
        <v>3372</v>
      </c>
      <c r="C4228" s="5" t="s">
        <v>11</v>
      </c>
      <c r="D4228" s="5" t="s">
        <v>12</v>
      </c>
      <c r="E4228" s="5" t="s">
        <v>830</v>
      </c>
    </row>
    <row r="4229" spans="1:5" x14ac:dyDescent="0.25">
      <c r="A4229" s="5">
        <f>4221</f>
      </c>
      <c r="B4229" s="5" t="s">
        <v>3373</v>
      </c>
      <c r="C4229" s="5" t="s">
        <v>11</v>
      </c>
      <c r="D4229" s="5" t="s">
        <v>12</v>
      </c>
      <c r="E4229" s="5" t="s">
        <v>959</v>
      </c>
    </row>
    <row r="4230" spans="1:5" x14ac:dyDescent="0.25">
      <c r="A4230" s="5">
        <f>4222</f>
      </c>
      <c r="B4230" s="5" t="s">
        <v>3374</v>
      </c>
      <c r="C4230" s="5" t="s">
        <v>11</v>
      </c>
      <c r="D4230" s="5" t="s">
        <v>12</v>
      </c>
      <c r="E4230" s="5" t="s">
        <v>2257</v>
      </c>
    </row>
    <row r="4231" spans="1:5" x14ac:dyDescent="0.25">
      <c r="A4231" s="5">
        <f>4223</f>
      </c>
      <c r="B4231" s="5" t="s">
        <v>3375</v>
      </c>
      <c r="C4231" s="5" t="s">
        <v>11</v>
      </c>
      <c r="D4231" s="5" t="s">
        <v>12</v>
      </c>
      <c r="E4231" s="5" t="s">
        <v>3376</v>
      </c>
    </row>
    <row r="4232" spans="1:5" x14ac:dyDescent="0.25">
      <c r="A4232" s="5">
        <f>4224</f>
      </c>
      <c r="B4232" s="5" t="s">
        <v>3377</v>
      </c>
      <c r="C4232" s="5" t="s">
        <v>11</v>
      </c>
      <c r="D4232" s="5" t="s">
        <v>12</v>
      </c>
      <c r="E4232" s="5" t="s">
        <v>3378</v>
      </c>
    </row>
    <row r="4233" spans="1:5" x14ac:dyDescent="0.25">
      <c r="A4233" s="5">
        <f>4225</f>
      </c>
      <c r="B4233" s="5" t="s">
        <v>3379</v>
      </c>
      <c r="C4233" s="5" t="s">
        <v>11</v>
      </c>
      <c r="D4233" s="5" t="s">
        <v>12</v>
      </c>
      <c r="E4233" s="5" t="s">
        <v>2327</v>
      </c>
    </row>
    <row r="4234" spans="1:5" x14ac:dyDescent="0.25">
      <c r="A4234" s="5">
        <f>4226</f>
      </c>
      <c r="B4234" s="5" t="s">
        <v>3380</v>
      </c>
      <c r="C4234" s="5" t="s">
        <v>11</v>
      </c>
      <c r="D4234" s="5" t="s">
        <v>12</v>
      </c>
      <c r="E4234" s="5" t="s">
        <v>969</v>
      </c>
    </row>
    <row r="4235" spans="1:5" x14ac:dyDescent="0.25">
      <c r="A4235" s="5">
        <f>4227</f>
      </c>
      <c r="B4235" s="5" t="s">
        <v>3381</v>
      </c>
      <c r="C4235" s="5" t="s">
        <v>11</v>
      </c>
      <c r="D4235" s="5" t="s">
        <v>12</v>
      </c>
      <c r="E4235" s="5" t="s">
        <v>3382</v>
      </c>
    </row>
    <row r="4236" spans="1:5" x14ac:dyDescent="0.25">
      <c r="A4236" s="5">
        <f>4228</f>
      </c>
      <c r="B4236" s="5" t="s">
        <v>3383</v>
      </c>
      <c r="C4236" s="5" t="s">
        <v>11</v>
      </c>
      <c r="D4236" s="5" t="s">
        <v>12</v>
      </c>
      <c r="E4236" s="5" t="s">
        <v>2671</v>
      </c>
    </row>
    <row r="4237" spans="1:5" x14ac:dyDescent="0.25">
      <c r="A4237" s="5">
        <f>4229</f>
      </c>
      <c r="B4237" s="5" t="s">
        <v>3384</v>
      </c>
      <c r="C4237" s="5" t="s">
        <v>11</v>
      </c>
      <c r="D4237" s="5" t="s">
        <v>12</v>
      </c>
      <c r="E4237" s="5" t="s">
        <v>2600</v>
      </c>
    </row>
    <row r="4238" spans="1:5" x14ac:dyDescent="0.25">
      <c r="A4238" s="5">
        <f>4230</f>
      </c>
      <c r="B4238" s="5" t="s">
        <v>3385</v>
      </c>
      <c r="C4238" s="5" t="s">
        <v>11</v>
      </c>
      <c r="D4238" s="5" t="s">
        <v>12</v>
      </c>
      <c r="E4238" s="5" t="s">
        <v>3386</v>
      </c>
    </row>
    <row r="4239" spans="1:5" x14ac:dyDescent="0.25">
      <c r="A4239" s="5">
        <f>4231</f>
      </c>
      <c r="B4239" s="5" t="s">
        <v>3387</v>
      </c>
      <c r="C4239" s="5" t="s">
        <v>11</v>
      </c>
      <c r="D4239" s="5" t="s">
        <v>12</v>
      </c>
      <c r="E4239" s="5" t="s">
        <v>3386</v>
      </c>
    </row>
    <row r="4240" spans="1:5" x14ac:dyDescent="0.25">
      <c r="A4240" s="5">
        <f>4232</f>
      </c>
      <c r="B4240" s="5" t="s">
        <v>3388</v>
      </c>
      <c r="C4240" s="5" t="s">
        <v>11</v>
      </c>
      <c r="D4240" s="5" t="s">
        <v>12</v>
      </c>
      <c r="E4240" s="5" t="s">
        <v>3386</v>
      </c>
    </row>
    <row r="4241" spans="1:5" x14ac:dyDescent="0.25">
      <c r="A4241" s="5">
        <f>4233</f>
      </c>
      <c r="B4241" s="5" t="s">
        <v>3389</v>
      </c>
      <c r="C4241" s="5" t="s">
        <v>11</v>
      </c>
      <c r="D4241" s="5" t="s">
        <v>12</v>
      </c>
      <c r="E4241" s="5" t="s">
        <v>3386</v>
      </c>
    </row>
    <row r="4242" spans="1:5" x14ac:dyDescent="0.25">
      <c r="A4242" s="5">
        <f>4234</f>
      </c>
      <c r="B4242" s="5" t="s">
        <v>3390</v>
      </c>
      <c r="C4242" s="5" t="s">
        <v>11</v>
      </c>
      <c r="D4242" s="5" t="s">
        <v>12</v>
      </c>
      <c r="E4242" s="5" t="s">
        <v>3386</v>
      </c>
    </row>
    <row r="4243" spans="1:5" x14ac:dyDescent="0.25">
      <c r="A4243" s="5">
        <f>4235</f>
      </c>
      <c r="B4243" s="5" t="s">
        <v>3391</v>
      </c>
      <c r="C4243" s="5" t="s">
        <v>11</v>
      </c>
      <c r="D4243" s="5" t="s">
        <v>12</v>
      </c>
      <c r="E4243" s="5" t="s">
        <v>3386</v>
      </c>
    </row>
    <row r="4244" spans="1:5" x14ac:dyDescent="0.25">
      <c r="A4244" s="5">
        <f>4236</f>
      </c>
      <c r="B4244" s="5" t="s">
        <v>3392</v>
      </c>
      <c r="C4244" s="5" t="s">
        <v>11</v>
      </c>
      <c r="D4244" s="5" t="s">
        <v>12</v>
      </c>
      <c r="E4244" s="5" t="s">
        <v>3386</v>
      </c>
    </row>
    <row r="4245" spans="1:5" x14ac:dyDescent="0.25">
      <c r="A4245" s="5">
        <f>4237</f>
      </c>
      <c r="B4245" s="5" t="s">
        <v>3393</v>
      </c>
      <c r="C4245" s="5" t="s">
        <v>11</v>
      </c>
      <c r="D4245" s="5" t="s">
        <v>12</v>
      </c>
      <c r="E4245" s="5" t="s">
        <v>3386</v>
      </c>
    </row>
    <row r="4246" spans="1:5" x14ac:dyDescent="0.25">
      <c r="A4246" s="5">
        <f>4238</f>
      </c>
      <c r="B4246" s="5" t="s">
        <v>3394</v>
      </c>
      <c r="C4246" s="5" t="s">
        <v>11</v>
      </c>
      <c r="D4246" s="5" t="s">
        <v>12</v>
      </c>
      <c r="E4246" s="5" t="s">
        <v>3386</v>
      </c>
    </row>
    <row r="4247" spans="1:5" x14ac:dyDescent="0.25">
      <c r="A4247" s="5">
        <f>4239</f>
      </c>
      <c r="B4247" s="5" t="s">
        <v>3395</v>
      </c>
      <c r="C4247" s="5" t="s">
        <v>11</v>
      </c>
      <c r="D4247" s="5" t="s">
        <v>12</v>
      </c>
      <c r="E4247" s="5" t="s">
        <v>3386</v>
      </c>
    </row>
    <row r="4248" spans="1:5" x14ac:dyDescent="0.25">
      <c r="A4248" s="5">
        <f>4240</f>
      </c>
      <c r="B4248" s="5" t="s">
        <v>3396</v>
      </c>
      <c r="C4248" s="5" t="s">
        <v>11</v>
      </c>
      <c r="D4248" s="5" t="s">
        <v>12</v>
      </c>
      <c r="E4248" s="5" t="s">
        <v>3386</v>
      </c>
    </row>
    <row r="4249" spans="1:5" x14ac:dyDescent="0.25">
      <c r="A4249" s="5">
        <f>4241</f>
      </c>
      <c r="B4249" s="5" t="s">
        <v>3397</v>
      </c>
      <c r="C4249" s="5" t="s">
        <v>11</v>
      </c>
      <c r="D4249" s="5" t="s">
        <v>12</v>
      </c>
      <c r="E4249" s="5" t="s">
        <v>3386</v>
      </c>
    </row>
    <row r="4250" spans="1:5" x14ac:dyDescent="0.25">
      <c r="A4250" s="5">
        <f>4242</f>
      </c>
      <c r="B4250" s="5" t="s">
        <v>3398</v>
      </c>
      <c r="C4250" s="5" t="s">
        <v>11</v>
      </c>
      <c r="D4250" s="5" t="s">
        <v>12</v>
      </c>
      <c r="E4250" s="5" t="s">
        <v>3386</v>
      </c>
    </row>
    <row r="4251" spans="1:5" x14ac:dyDescent="0.25">
      <c r="A4251" s="5">
        <f>4243</f>
      </c>
      <c r="B4251" s="5" t="s">
        <v>3399</v>
      </c>
      <c r="C4251" s="5" t="s">
        <v>11</v>
      </c>
      <c r="D4251" s="5" t="s">
        <v>12</v>
      </c>
      <c r="E4251" s="5" t="s">
        <v>3386</v>
      </c>
    </row>
    <row r="4252" spans="1:5" x14ac:dyDescent="0.25">
      <c r="A4252" s="5">
        <f>4244</f>
      </c>
      <c r="B4252" s="5" t="s">
        <v>3400</v>
      </c>
      <c r="C4252" s="5" t="s">
        <v>11</v>
      </c>
      <c r="D4252" s="5" t="s">
        <v>12</v>
      </c>
      <c r="E4252" s="5" t="s">
        <v>3386</v>
      </c>
    </row>
    <row r="4253" spans="1:5" x14ac:dyDescent="0.25">
      <c r="A4253" s="5">
        <f>4245</f>
      </c>
      <c r="B4253" s="5" t="s">
        <v>3401</v>
      </c>
      <c r="C4253" s="5" t="s">
        <v>11</v>
      </c>
      <c r="D4253" s="5" t="s">
        <v>12</v>
      </c>
      <c r="E4253" s="5" t="s">
        <v>3386</v>
      </c>
    </row>
    <row r="4254" spans="1:5" x14ac:dyDescent="0.25">
      <c r="A4254" s="5">
        <f>4246</f>
      </c>
      <c r="B4254" s="5" t="s">
        <v>3402</v>
      </c>
      <c r="C4254" s="5" t="s">
        <v>11</v>
      </c>
      <c r="D4254" s="5" t="s">
        <v>12</v>
      </c>
      <c r="E4254" s="5" t="s">
        <v>3386</v>
      </c>
    </row>
    <row r="4255" spans="1:5" x14ac:dyDescent="0.25">
      <c r="A4255" s="5">
        <f>4247</f>
      </c>
      <c r="B4255" s="5" t="s">
        <v>3403</v>
      </c>
      <c r="C4255" s="5" t="s">
        <v>11</v>
      </c>
      <c r="D4255" s="5" t="s">
        <v>12</v>
      </c>
      <c r="E4255" s="5" t="s">
        <v>3386</v>
      </c>
    </row>
    <row r="4256" spans="1:5" x14ac:dyDescent="0.25">
      <c r="A4256" s="5">
        <f>4248</f>
      </c>
      <c r="B4256" s="5" t="s">
        <v>3404</v>
      </c>
      <c r="C4256" s="5" t="s">
        <v>11</v>
      </c>
      <c r="D4256" s="5" t="s">
        <v>12</v>
      </c>
      <c r="E4256" s="5" t="s">
        <v>3386</v>
      </c>
    </row>
    <row r="4257" spans="1:5" x14ac:dyDescent="0.25">
      <c r="A4257" s="5">
        <f>4249</f>
      </c>
      <c r="B4257" s="5" t="s">
        <v>3405</v>
      </c>
      <c r="C4257" s="5" t="s">
        <v>11</v>
      </c>
      <c r="D4257" s="5" t="s">
        <v>12</v>
      </c>
      <c r="E4257" s="5" t="s">
        <v>3386</v>
      </c>
    </row>
    <row r="4258" spans="1:5" x14ac:dyDescent="0.25">
      <c r="A4258" s="5">
        <f>4250</f>
      </c>
      <c r="B4258" s="5" t="s">
        <v>3406</v>
      </c>
      <c r="C4258" s="5" t="s">
        <v>11</v>
      </c>
      <c r="D4258" s="5" t="s">
        <v>12</v>
      </c>
      <c r="E4258" s="5" t="s">
        <v>3386</v>
      </c>
    </row>
    <row r="4259" spans="1:5" x14ac:dyDescent="0.25">
      <c r="A4259" s="5">
        <f>4251</f>
      </c>
      <c r="B4259" s="5" t="s">
        <v>3407</v>
      </c>
      <c r="C4259" s="5" t="s">
        <v>11</v>
      </c>
      <c r="D4259" s="5" t="s">
        <v>12</v>
      </c>
      <c r="E4259" s="5" t="s">
        <v>3386</v>
      </c>
    </row>
    <row r="4260" spans="1:5" x14ac:dyDescent="0.25">
      <c r="A4260" s="5">
        <f>4252</f>
      </c>
      <c r="B4260" s="5" t="s">
        <v>3408</v>
      </c>
      <c r="C4260" s="5" t="s">
        <v>11</v>
      </c>
      <c r="D4260" s="5" t="s">
        <v>12</v>
      </c>
      <c r="E4260" s="5" t="s">
        <v>3386</v>
      </c>
    </row>
    <row r="4261" spans="1:5" x14ac:dyDescent="0.25">
      <c r="A4261" s="5">
        <f>4253</f>
      </c>
      <c r="B4261" s="5" t="s">
        <v>3409</v>
      </c>
      <c r="C4261" s="5" t="s">
        <v>11</v>
      </c>
      <c r="D4261" s="5" t="s">
        <v>12</v>
      </c>
      <c r="E4261" s="5" t="s">
        <v>3386</v>
      </c>
    </row>
    <row r="4262" spans="1:5" x14ac:dyDescent="0.25">
      <c r="A4262" s="5">
        <f>4254</f>
      </c>
      <c r="B4262" s="5" t="s">
        <v>3410</v>
      </c>
      <c r="C4262" s="5" t="s">
        <v>11</v>
      </c>
      <c r="D4262" s="5" t="s">
        <v>12</v>
      </c>
      <c r="E4262" s="5" t="s">
        <v>3386</v>
      </c>
    </row>
    <row r="4263" spans="1:5" x14ac:dyDescent="0.25">
      <c r="A4263" s="5">
        <f>4255</f>
      </c>
      <c r="B4263" s="5" t="s">
        <v>3411</v>
      </c>
      <c r="C4263" s="5" t="s">
        <v>11</v>
      </c>
      <c r="D4263" s="5" t="s">
        <v>12</v>
      </c>
      <c r="E4263" s="5" t="s">
        <v>3386</v>
      </c>
    </row>
    <row r="4264" spans="1:5" x14ac:dyDescent="0.25">
      <c r="A4264" s="5">
        <f>4256</f>
      </c>
      <c r="B4264" s="5" t="s">
        <v>3412</v>
      </c>
      <c r="C4264" s="5" t="s">
        <v>11</v>
      </c>
      <c r="D4264" s="5" t="s">
        <v>12</v>
      </c>
      <c r="E4264" s="5" t="s">
        <v>3386</v>
      </c>
    </row>
    <row r="4265" spans="1:5" x14ac:dyDescent="0.25">
      <c r="A4265" s="5">
        <f>4257</f>
      </c>
      <c r="B4265" s="5" t="s">
        <v>3413</v>
      </c>
      <c r="C4265" s="5" t="s">
        <v>11</v>
      </c>
      <c r="D4265" s="5" t="s">
        <v>12</v>
      </c>
      <c r="E4265" s="5" t="s">
        <v>3386</v>
      </c>
    </row>
    <row r="4266" spans="1:5" x14ac:dyDescent="0.25">
      <c r="A4266" s="5">
        <f>4258</f>
      </c>
      <c r="B4266" s="5" t="s">
        <v>3414</v>
      </c>
      <c r="C4266" s="5" t="s">
        <v>11</v>
      </c>
      <c r="D4266" s="5" t="s">
        <v>12</v>
      </c>
      <c r="E4266" s="5" t="s">
        <v>3386</v>
      </c>
    </row>
    <row r="4267" spans="1:5" x14ac:dyDescent="0.25">
      <c r="A4267" s="5">
        <f>4259</f>
      </c>
      <c r="B4267" s="5" t="s">
        <v>3415</v>
      </c>
      <c r="C4267" s="5" t="s">
        <v>11</v>
      </c>
      <c r="D4267" s="5" t="s">
        <v>12</v>
      </c>
      <c r="E4267" s="5" t="s">
        <v>3386</v>
      </c>
    </row>
    <row r="4268" spans="1:5" x14ac:dyDescent="0.25">
      <c r="A4268" s="5">
        <f>4260</f>
      </c>
      <c r="B4268" s="5" t="s">
        <v>3416</v>
      </c>
      <c r="C4268" s="5" t="s">
        <v>11</v>
      </c>
      <c r="D4268" s="5" t="s">
        <v>12</v>
      </c>
      <c r="E4268" s="5" t="s">
        <v>3386</v>
      </c>
    </row>
    <row r="4269" spans="1:5" x14ac:dyDescent="0.25">
      <c r="A4269" s="5">
        <f>4261</f>
      </c>
      <c r="B4269" s="5" t="s">
        <v>3417</v>
      </c>
      <c r="C4269" s="5" t="s">
        <v>11</v>
      </c>
      <c r="D4269" s="5" t="s">
        <v>12</v>
      </c>
      <c r="E4269" s="5" t="s">
        <v>3386</v>
      </c>
    </row>
    <row r="4270" spans="1:5" x14ac:dyDescent="0.25">
      <c r="A4270" s="5">
        <f>4262</f>
      </c>
      <c r="B4270" s="5" t="s">
        <v>3418</v>
      </c>
      <c r="C4270" s="5" t="s">
        <v>11</v>
      </c>
      <c r="D4270" s="5" t="s">
        <v>12</v>
      </c>
      <c r="E4270" s="5" t="s">
        <v>3386</v>
      </c>
    </row>
    <row r="4271" spans="1:5" x14ac:dyDescent="0.25">
      <c r="A4271" s="5">
        <f>4263</f>
      </c>
      <c r="B4271" s="5" t="s">
        <v>3419</v>
      </c>
      <c r="C4271" s="5" t="s">
        <v>11</v>
      </c>
      <c r="D4271" s="5" t="s">
        <v>12</v>
      </c>
      <c r="E4271" s="5" t="s">
        <v>3386</v>
      </c>
    </row>
    <row r="4272" spans="1:5" x14ac:dyDescent="0.25">
      <c r="A4272" s="5">
        <f>4264</f>
      </c>
      <c r="B4272" s="5" t="s">
        <v>3420</v>
      </c>
      <c r="C4272" s="5" t="s">
        <v>11</v>
      </c>
      <c r="D4272" s="5" t="s">
        <v>12</v>
      </c>
      <c r="E4272" s="5" t="s">
        <v>3386</v>
      </c>
    </row>
    <row r="4273" spans="1:5" x14ac:dyDescent="0.25">
      <c r="A4273" s="5">
        <f>4265</f>
      </c>
      <c r="B4273" s="5" t="s">
        <v>3421</v>
      </c>
      <c r="C4273" s="5" t="s">
        <v>11</v>
      </c>
      <c r="D4273" s="5" t="s">
        <v>12</v>
      </c>
      <c r="E4273" s="5" t="s">
        <v>3386</v>
      </c>
    </row>
    <row r="4274" spans="1:5" x14ac:dyDescent="0.25">
      <c r="A4274" s="5">
        <f>4266</f>
      </c>
      <c r="B4274" s="5" t="s">
        <v>3422</v>
      </c>
      <c r="C4274" s="5" t="s">
        <v>11</v>
      </c>
      <c r="D4274" s="5" t="s">
        <v>12</v>
      </c>
      <c r="E4274" s="5" t="s">
        <v>3386</v>
      </c>
    </row>
    <row r="4275" spans="1:5" x14ac:dyDescent="0.25">
      <c r="A4275" s="5">
        <f>4267</f>
      </c>
      <c r="B4275" s="5" t="s">
        <v>3423</v>
      </c>
      <c r="C4275" s="5" t="s">
        <v>11</v>
      </c>
      <c r="D4275" s="5" t="s">
        <v>12</v>
      </c>
      <c r="E4275" s="5" t="s">
        <v>3386</v>
      </c>
    </row>
    <row r="4276" spans="1:5" x14ac:dyDescent="0.25">
      <c r="A4276" s="5">
        <f>4268</f>
      </c>
      <c r="B4276" s="5" t="s">
        <v>3424</v>
      </c>
      <c r="C4276" s="5" t="s">
        <v>11</v>
      </c>
      <c r="D4276" s="5" t="s">
        <v>12</v>
      </c>
      <c r="E4276" s="5" t="s">
        <v>3425</v>
      </c>
    </row>
    <row r="4277" spans="1:5" x14ac:dyDescent="0.25">
      <c r="A4277" s="5">
        <f>4269</f>
      </c>
      <c r="B4277" s="5" t="s">
        <v>3426</v>
      </c>
      <c r="C4277" s="5" t="s">
        <v>11</v>
      </c>
      <c r="D4277" s="5" t="s">
        <v>12</v>
      </c>
      <c r="E4277" s="5" t="s">
        <v>3425</v>
      </c>
    </row>
    <row r="4278" spans="1:5" x14ac:dyDescent="0.25">
      <c r="A4278" s="5">
        <f>4270</f>
      </c>
      <c r="B4278" s="5" t="s">
        <v>3427</v>
      </c>
      <c r="C4278" s="5" t="s">
        <v>11</v>
      </c>
      <c r="D4278" s="5" t="s">
        <v>12</v>
      </c>
      <c r="E4278" s="5" t="s">
        <v>2398</v>
      </c>
    </row>
    <row r="4279" spans="1:5" x14ac:dyDescent="0.25">
      <c r="A4279" s="5">
        <f>4271</f>
      </c>
      <c r="B4279" s="5" t="s">
        <v>3428</v>
      </c>
      <c r="C4279" s="5" t="s">
        <v>11</v>
      </c>
      <c r="D4279" s="5" t="s">
        <v>12</v>
      </c>
      <c r="E4279" s="5" t="s">
        <v>2398</v>
      </c>
    </row>
    <row r="4280" spans="1:5" x14ac:dyDescent="0.25">
      <c r="A4280" s="5">
        <f>4272</f>
      </c>
      <c r="B4280" s="5" t="s">
        <v>3429</v>
      </c>
      <c r="C4280" s="5" t="s">
        <v>11</v>
      </c>
      <c r="D4280" s="5" t="s">
        <v>12</v>
      </c>
      <c r="E4280" s="5" t="s">
        <v>3430</v>
      </c>
    </row>
    <row r="4281" spans="1:5" x14ac:dyDescent="0.25">
      <c r="A4281" s="5">
        <f>4273</f>
      </c>
      <c r="B4281" s="5" t="s">
        <v>3431</v>
      </c>
      <c r="C4281" s="5" t="s">
        <v>11</v>
      </c>
      <c r="D4281" s="5" t="s">
        <v>12</v>
      </c>
      <c r="E4281" s="5" t="s">
        <v>927</v>
      </c>
    </row>
    <row r="4282" spans="1:5" x14ac:dyDescent="0.25">
      <c r="A4282" s="5">
        <f>4274</f>
      </c>
      <c r="B4282" s="5" t="s">
        <v>3432</v>
      </c>
      <c r="C4282" s="5" t="s">
        <v>11</v>
      </c>
      <c r="D4282" s="5" t="s">
        <v>12</v>
      </c>
      <c r="E4282" s="5" t="s">
        <v>3433</v>
      </c>
    </row>
    <row r="4283" spans="1:5" x14ac:dyDescent="0.25">
      <c r="A4283" s="5">
        <f>4275</f>
      </c>
      <c r="B4283" s="5" t="s">
        <v>3434</v>
      </c>
      <c r="C4283" s="5" t="s">
        <v>11</v>
      </c>
      <c r="D4283" s="5" t="s">
        <v>12</v>
      </c>
      <c r="E4283" s="5" t="s">
        <v>892</v>
      </c>
    </row>
    <row r="4284" spans="1:5" x14ac:dyDescent="0.25">
      <c r="A4284" s="5">
        <f>4276</f>
      </c>
      <c r="B4284" s="5" t="s">
        <v>3435</v>
      </c>
      <c r="C4284" s="5" t="s">
        <v>11</v>
      </c>
      <c r="D4284" s="5" t="s">
        <v>12</v>
      </c>
      <c r="E4284" s="5" t="s">
        <v>975</v>
      </c>
    </row>
    <row r="4285" spans="1:5" x14ac:dyDescent="0.25">
      <c r="A4285" s="5">
        <f>4277</f>
      </c>
      <c r="B4285" s="5" t="s">
        <v>3436</v>
      </c>
      <c r="C4285" s="5" t="s">
        <v>11</v>
      </c>
      <c r="D4285" s="5" t="s">
        <v>12</v>
      </c>
      <c r="E4285" s="5" t="s">
        <v>762</v>
      </c>
    </row>
    <row r="4286" spans="1:5" x14ac:dyDescent="0.25">
      <c r="A4286" s="5">
        <f>4278</f>
      </c>
      <c r="B4286" s="5" t="s">
        <v>3437</v>
      </c>
      <c r="C4286" s="5" t="s">
        <v>11</v>
      </c>
      <c r="D4286" s="5" t="s">
        <v>12</v>
      </c>
      <c r="E4286" s="5" t="s">
        <v>3438</v>
      </c>
    </row>
    <row r="4287" spans="1:5" x14ac:dyDescent="0.25">
      <c r="A4287" s="5">
        <f>4279</f>
      </c>
      <c r="B4287" s="5" t="s">
        <v>3439</v>
      </c>
      <c r="C4287" s="5" t="s">
        <v>11</v>
      </c>
      <c r="D4287" s="5" t="s">
        <v>12</v>
      </c>
      <c r="E4287" s="5" t="s">
        <v>1060</v>
      </c>
    </row>
    <row r="4288" spans="1:5" x14ac:dyDescent="0.25">
      <c r="A4288" s="5">
        <f>4280</f>
      </c>
      <c r="B4288" s="5" t="s">
        <v>3440</v>
      </c>
      <c r="C4288" s="5" t="s">
        <v>11</v>
      </c>
      <c r="D4288" s="5" t="s">
        <v>12</v>
      </c>
      <c r="E4288" s="5" t="s">
        <v>2616</v>
      </c>
    </row>
    <row r="4289" spans="1:5" x14ac:dyDescent="0.25">
      <c r="A4289" s="5">
        <f>4281</f>
      </c>
      <c r="B4289" s="5" t="s">
        <v>3441</v>
      </c>
      <c r="C4289" s="5" t="s">
        <v>11</v>
      </c>
      <c r="D4289" s="5" t="s">
        <v>12</v>
      </c>
      <c r="E4289" s="5" t="s">
        <v>2616</v>
      </c>
    </row>
    <row r="4290" spans="1:5" x14ac:dyDescent="0.25">
      <c r="A4290" s="5">
        <f>4282</f>
      </c>
      <c r="B4290" s="5" t="s">
        <v>3442</v>
      </c>
      <c r="C4290" s="5" t="s">
        <v>11</v>
      </c>
      <c r="D4290" s="5" t="s">
        <v>12</v>
      </c>
      <c r="E4290" s="5" t="s">
        <v>2616</v>
      </c>
    </row>
    <row r="4291" spans="1:5" x14ac:dyDescent="0.25">
      <c r="A4291" s="5">
        <f>4283</f>
      </c>
      <c r="B4291" s="5" t="s">
        <v>3443</v>
      </c>
      <c r="C4291" s="5" t="s">
        <v>11</v>
      </c>
      <c r="D4291" s="5" t="s">
        <v>12</v>
      </c>
      <c r="E4291" s="5" t="s">
        <v>2616</v>
      </c>
    </row>
    <row r="4292" spans="1:5" x14ac:dyDescent="0.25">
      <c r="A4292" s="5">
        <f>4284</f>
      </c>
      <c r="B4292" s="5" t="s">
        <v>3444</v>
      </c>
      <c r="C4292" s="5" t="s">
        <v>11</v>
      </c>
      <c r="D4292" s="5" t="s">
        <v>12</v>
      </c>
      <c r="E4292" s="5" t="s">
        <v>2616</v>
      </c>
    </row>
    <row r="4293" spans="1:5" x14ac:dyDescent="0.25">
      <c r="A4293" s="5">
        <f>4285</f>
      </c>
      <c r="B4293" s="5" t="s">
        <v>3445</v>
      </c>
      <c r="C4293" s="5" t="s">
        <v>11</v>
      </c>
      <c r="D4293" s="5" t="s">
        <v>12</v>
      </c>
      <c r="E4293" s="5" t="s">
        <v>2616</v>
      </c>
    </row>
    <row r="4294" spans="1:5" x14ac:dyDescent="0.25">
      <c r="A4294" s="5">
        <f>4286</f>
      </c>
      <c r="B4294" s="5" t="s">
        <v>3446</v>
      </c>
      <c r="C4294" s="5" t="s">
        <v>11</v>
      </c>
      <c r="D4294" s="5" t="s">
        <v>12</v>
      </c>
      <c r="E4294" s="5" t="s">
        <v>1056</v>
      </c>
    </row>
    <row r="4295" spans="1:5" x14ac:dyDescent="0.25">
      <c r="A4295" s="5">
        <f>4287</f>
      </c>
      <c r="B4295" s="5" t="s">
        <v>3447</v>
      </c>
      <c r="C4295" s="5" t="s">
        <v>11</v>
      </c>
      <c r="D4295" s="5" t="s">
        <v>12</v>
      </c>
      <c r="E4295" s="5" t="s">
        <v>1056</v>
      </c>
    </row>
    <row r="4296" spans="1:5" x14ac:dyDescent="0.25">
      <c r="A4296" s="5">
        <f>4288</f>
      </c>
      <c r="B4296" s="5" t="s">
        <v>3448</v>
      </c>
      <c r="C4296" s="5" t="s">
        <v>11</v>
      </c>
      <c r="D4296" s="5" t="s">
        <v>12</v>
      </c>
      <c r="E4296" s="5" t="s">
        <v>1056</v>
      </c>
    </row>
    <row r="4297" spans="1:5" x14ac:dyDescent="0.25">
      <c r="A4297" s="5">
        <f>4289</f>
      </c>
      <c r="B4297" s="5" t="s">
        <v>3449</v>
      </c>
      <c r="C4297" s="5" t="s">
        <v>11</v>
      </c>
      <c r="D4297" s="5" t="s">
        <v>12</v>
      </c>
      <c r="E4297" s="5" t="s">
        <v>1056</v>
      </c>
    </row>
    <row r="4298" spans="1:5" x14ac:dyDescent="0.25">
      <c r="A4298" s="5">
        <f>4290</f>
      </c>
      <c r="B4298" s="5" t="s">
        <v>3450</v>
      </c>
      <c r="C4298" s="5" t="s">
        <v>11</v>
      </c>
      <c r="D4298" s="5" t="s">
        <v>12</v>
      </c>
      <c r="E4298" s="5" t="s">
        <v>1056</v>
      </c>
    </row>
    <row r="4299" spans="1:5" x14ac:dyDescent="0.25">
      <c r="A4299" s="5">
        <f>4291</f>
      </c>
      <c r="B4299" s="5" t="s">
        <v>3451</v>
      </c>
      <c r="C4299" s="5" t="s">
        <v>11</v>
      </c>
      <c r="D4299" s="5" t="s">
        <v>12</v>
      </c>
      <c r="E4299" s="5" t="s">
        <v>1056</v>
      </c>
    </row>
    <row r="4300" spans="1:5" x14ac:dyDescent="0.25">
      <c r="A4300" s="5">
        <f>4292</f>
      </c>
      <c r="B4300" s="5" t="s">
        <v>3452</v>
      </c>
      <c r="C4300" s="5" t="s">
        <v>11</v>
      </c>
      <c r="D4300" s="5" t="s">
        <v>12</v>
      </c>
      <c r="E4300" s="5" t="s">
        <v>1056</v>
      </c>
    </row>
    <row r="4301" spans="1:5" x14ac:dyDescent="0.25">
      <c r="A4301" s="5">
        <f>4293</f>
      </c>
      <c r="B4301" s="5" t="s">
        <v>3453</v>
      </c>
      <c r="C4301" s="5" t="s">
        <v>11</v>
      </c>
      <c r="D4301" s="5" t="s">
        <v>12</v>
      </c>
      <c r="E4301" s="5" t="s">
        <v>1056</v>
      </c>
    </row>
    <row r="4302" spans="1:5" x14ac:dyDescent="0.25">
      <c r="A4302" s="5">
        <f>4294</f>
      </c>
      <c r="B4302" s="5" t="s">
        <v>3454</v>
      </c>
      <c r="C4302" s="5" t="s">
        <v>11</v>
      </c>
      <c r="D4302" s="5" t="s">
        <v>12</v>
      </c>
      <c r="E4302" s="5" t="s">
        <v>1056</v>
      </c>
    </row>
    <row r="4303" spans="1:5" x14ac:dyDescent="0.25">
      <c r="A4303" s="5">
        <f>4295</f>
      </c>
      <c r="B4303" s="5" t="s">
        <v>3455</v>
      </c>
      <c r="C4303" s="5" t="s">
        <v>11</v>
      </c>
      <c r="D4303" s="5" t="s">
        <v>12</v>
      </c>
      <c r="E4303" s="5" t="s">
        <v>1056</v>
      </c>
    </row>
    <row r="4304" spans="1:5" x14ac:dyDescent="0.25">
      <c r="A4304" s="5">
        <f>4296</f>
      </c>
      <c r="B4304" s="5" t="s">
        <v>3456</v>
      </c>
      <c r="C4304" s="5" t="s">
        <v>11</v>
      </c>
      <c r="D4304" s="5" t="s">
        <v>12</v>
      </c>
      <c r="E4304" s="5" t="s">
        <v>1056</v>
      </c>
    </row>
    <row r="4305" spans="1:5" x14ac:dyDescent="0.25">
      <c r="A4305" s="5">
        <f>4297</f>
      </c>
      <c r="B4305" s="5" t="s">
        <v>3457</v>
      </c>
      <c r="C4305" s="5" t="s">
        <v>11</v>
      </c>
      <c r="D4305" s="5" t="s">
        <v>12</v>
      </c>
      <c r="E4305" s="5" t="s">
        <v>1056</v>
      </c>
    </row>
    <row r="4306" spans="1:5" x14ac:dyDescent="0.25">
      <c r="A4306" s="5">
        <f>4298</f>
      </c>
      <c r="B4306" s="5" t="s">
        <v>3458</v>
      </c>
      <c r="C4306" s="5" t="s">
        <v>11</v>
      </c>
      <c r="D4306" s="5" t="s">
        <v>12</v>
      </c>
      <c r="E4306" s="5" t="s">
        <v>1056</v>
      </c>
    </row>
    <row r="4307" spans="1:5" x14ac:dyDescent="0.25">
      <c r="A4307" s="5">
        <f>4299</f>
      </c>
      <c r="B4307" s="5" t="s">
        <v>3459</v>
      </c>
      <c r="C4307" s="5" t="s">
        <v>11</v>
      </c>
      <c r="D4307" s="5" t="s">
        <v>12</v>
      </c>
      <c r="E4307" s="5" t="s">
        <v>1056</v>
      </c>
    </row>
    <row r="4308" spans="1:5" x14ac:dyDescent="0.25">
      <c r="A4308" s="5">
        <f>4300</f>
      </c>
      <c r="B4308" s="5" t="s">
        <v>3460</v>
      </c>
      <c r="C4308" s="5" t="s">
        <v>11</v>
      </c>
      <c r="D4308" s="5" t="s">
        <v>12</v>
      </c>
      <c r="E4308" s="5" t="s">
        <v>1056</v>
      </c>
    </row>
    <row r="4309" spans="1:5" x14ac:dyDescent="0.25">
      <c r="A4309" s="5">
        <f>4301</f>
      </c>
      <c r="B4309" s="5" t="s">
        <v>3461</v>
      </c>
      <c r="C4309" s="5" t="s">
        <v>11</v>
      </c>
      <c r="D4309" s="5" t="s">
        <v>12</v>
      </c>
      <c r="E4309" s="5" t="s">
        <v>1056</v>
      </c>
    </row>
    <row r="4310" spans="1:5" x14ac:dyDescent="0.25">
      <c r="A4310" s="5">
        <f>4302</f>
      </c>
      <c r="B4310" s="5" t="s">
        <v>3462</v>
      </c>
      <c r="C4310" s="5" t="s">
        <v>11</v>
      </c>
      <c r="D4310" s="5" t="s">
        <v>12</v>
      </c>
      <c r="E4310" s="5" t="s">
        <v>1056</v>
      </c>
    </row>
    <row r="4311" spans="1:5" x14ac:dyDescent="0.25">
      <c r="A4311" s="5">
        <f>4303</f>
      </c>
      <c r="B4311" s="5" t="s">
        <v>3463</v>
      </c>
      <c r="C4311" s="5" t="s">
        <v>11</v>
      </c>
      <c r="D4311" s="5" t="s">
        <v>12</v>
      </c>
      <c r="E4311" s="5" t="s">
        <v>1056</v>
      </c>
    </row>
    <row r="4312" spans="1:5" x14ac:dyDescent="0.25">
      <c r="A4312" s="5">
        <f>4304</f>
      </c>
      <c r="B4312" s="5" t="s">
        <v>3464</v>
      </c>
      <c r="C4312" s="5" t="s">
        <v>11</v>
      </c>
      <c r="D4312" s="5" t="s">
        <v>12</v>
      </c>
      <c r="E4312" s="5" t="s">
        <v>1056</v>
      </c>
    </row>
    <row r="4313" spans="1:5" x14ac:dyDescent="0.25">
      <c r="A4313" s="5">
        <f>4305</f>
      </c>
      <c r="B4313" s="5" t="s">
        <v>3465</v>
      </c>
      <c r="C4313" s="5" t="s">
        <v>11</v>
      </c>
      <c r="D4313" s="5" t="s">
        <v>12</v>
      </c>
      <c r="E4313" s="5" t="s">
        <v>1056</v>
      </c>
    </row>
    <row r="4314" spans="1:5" x14ac:dyDescent="0.25">
      <c r="A4314" s="5">
        <f>4306</f>
      </c>
      <c r="B4314" s="5" t="s">
        <v>3466</v>
      </c>
      <c r="C4314" s="5" t="s">
        <v>11</v>
      </c>
      <c r="D4314" s="5" t="s">
        <v>12</v>
      </c>
      <c r="E4314" s="5" t="s">
        <v>1056</v>
      </c>
    </row>
    <row r="4315" spans="1:5" x14ac:dyDescent="0.25">
      <c r="A4315" s="5">
        <f>4307</f>
      </c>
      <c r="B4315" s="5" t="s">
        <v>3467</v>
      </c>
      <c r="C4315" s="5" t="s">
        <v>11</v>
      </c>
      <c r="D4315" s="5" t="s">
        <v>12</v>
      </c>
      <c r="E4315" s="5" t="s">
        <v>1056</v>
      </c>
    </row>
    <row r="4316" spans="1:5" x14ac:dyDescent="0.25">
      <c r="A4316" s="5">
        <f>4308</f>
      </c>
      <c r="B4316" s="5" t="s">
        <v>3468</v>
      </c>
      <c r="C4316" s="5" t="s">
        <v>11</v>
      </c>
      <c r="D4316" s="5" t="s">
        <v>12</v>
      </c>
      <c r="E4316" s="5" t="s">
        <v>1056</v>
      </c>
    </row>
    <row r="4317" spans="1:5" x14ac:dyDescent="0.25">
      <c r="A4317" s="5">
        <f>4309</f>
      </c>
      <c r="B4317" s="5" t="s">
        <v>3469</v>
      </c>
      <c r="C4317" s="5" t="s">
        <v>11</v>
      </c>
      <c r="D4317" s="5" t="s">
        <v>12</v>
      </c>
      <c r="E4317" s="5" t="s">
        <v>1056</v>
      </c>
    </row>
    <row r="4318" spans="1:5" x14ac:dyDescent="0.25">
      <c r="A4318" s="5">
        <f>4310</f>
      </c>
      <c r="B4318" s="5" t="s">
        <v>3470</v>
      </c>
      <c r="C4318" s="5" t="s">
        <v>11</v>
      </c>
      <c r="D4318" s="5" t="s">
        <v>12</v>
      </c>
      <c r="E4318" s="5" t="s">
        <v>1056</v>
      </c>
    </row>
    <row r="4319" spans="1:5" x14ac:dyDescent="0.25">
      <c r="A4319" s="5">
        <f>4311</f>
      </c>
      <c r="B4319" s="5" t="s">
        <v>3471</v>
      </c>
      <c r="C4319" s="5" t="s">
        <v>11</v>
      </c>
      <c r="D4319" s="5" t="s">
        <v>12</v>
      </c>
      <c r="E4319" s="5" t="s">
        <v>1056</v>
      </c>
    </row>
    <row r="4320" spans="1:5" x14ac:dyDescent="0.25">
      <c r="A4320" s="5">
        <f>4312</f>
      </c>
      <c r="B4320" s="5" t="s">
        <v>3472</v>
      </c>
      <c r="C4320" s="5" t="s">
        <v>11</v>
      </c>
      <c r="D4320" s="5" t="s">
        <v>12</v>
      </c>
      <c r="E4320" s="5" t="s">
        <v>1056</v>
      </c>
    </row>
    <row r="4321" spans="1:5" x14ac:dyDescent="0.25">
      <c r="A4321" s="5">
        <f>4313</f>
      </c>
      <c r="B4321" s="5" t="s">
        <v>3473</v>
      </c>
      <c r="C4321" s="5" t="s">
        <v>11</v>
      </c>
      <c r="D4321" s="5" t="s">
        <v>12</v>
      </c>
      <c r="E4321" s="5" t="s">
        <v>1056</v>
      </c>
    </row>
    <row r="4322" spans="1:5" x14ac:dyDescent="0.25">
      <c r="A4322" s="5">
        <f>4314</f>
      </c>
      <c r="B4322" s="5" t="s">
        <v>3474</v>
      </c>
      <c r="C4322" s="5" t="s">
        <v>11</v>
      </c>
      <c r="D4322" s="5" t="s">
        <v>12</v>
      </c>
      <c r="E4322" s="5" t="s">
        <v>1056</v>
      </c>
    </row>
    <row r="4323" spans="1:5" x14ac:dyDescent="0.25">
      <c r="A4323" s="5">
        <f>4315</f>
      </c>
      <c r="B4323" s="5" t="s">
        <v>3475</v>
      </c>
      <c r="C4323" s="5" t="s">
        <v>11</v>
      </c>
      <c r="D4323" s="5" t="s">
        <v>12</v>
      </c>
      <c r="E4323" s="5" t="s">
        <v>1056</v>
      </c>
    </row>
    <row r="4324" spans="1:5" x14ac:dyDescent="0.25">
      <c r="A4324" s="5">
        <f>4316</f>
      </c>
      <c r="B4324" s="5" t="s">
        <v>3476</v>
      </c>
      <c r="C4324" s="5" t="s">
        <v>11</v>
      </c>
      <c r="D4324" s="5" t="s">
        <v>12</v>
      </c>
      <c r="E4324" s="5" t="s">
        <v>1056</v>
      </c>
    </row>
    <row r="4325" spans="1:5" x14ac:dyDescent="0.25">
      <c r="A4325" s="5">
        <f>4317</f>
      </c>
      <c r="B4325" s="5" t="s">
        <v>3477</v>
      </c>
      <c r="C4325" s="5" t="s">
        <v>11</v>
      </c>
      <c r="D4325" s="5" t="s">
        <v>12</v>
      </c>
      <c r="E4325" s="5" t="s">
        <v>1056</v>
      </c>
    </row>
    <row r="4326" spans="1:5" x14ac:dyDescent="0.25">
      <c r="A4326" s="5">
        <f>4318</f>
      </c>
      <c r="B4326" s="5" t="s">
        <v>3478</v>
      </c>
      <c r="C4326" s="5" t="s">
        <v>11</v>
      </c>
      <c r="D4326" s="5" t="s">
        <v>12</v>
      </c>
      <c r="E4326" s="5" t="s">
        <v>1056</v>
      </c>
    </row>
    <row r="4327" spans="1:5" x14ac:dyDescent="0.25">
      <c r="A4327" s="5">
        <f>4319</f>
      </c>
      <c r="B4327" s="5" t="s">
        <v>3479</v>
      </c>
      <c r="C4327" s="5" t="s">
        <v>11</v>
      </c>
      <c r="D4327" s="5" t="s">
        <v>12</v>
      </c>
      <c r="E4327" s="5" t="s">
        <v>1056</v>
      </c>
    </row>
    <row r="4328" spans="1:5" x14ac:dyDescent="0.25">
      <c r="A4328" s="5">
        <f>4320</f>
      </c>
      <c r="B4328" s="5" t="s">
        <v>3480</v>
      </c>
      <c r="C4328" s="5" t="s">
        <v>11</v>
      </c>
      <c r="D4328" s="5" t="s">
        <v>12</v>
      </c>
      <c r="E4328" s="5" t="s">
        <v>1056</v>
      </c>
    </row>
    <row r="4329" spans="1:5" x14ac:dyDescent="0.25">
      <c r="A4329" s="5">
        <f>4321</f>
      </c>
      <c r="B4329" s="5" t="s">
        <v>3481</v>
      </c>
      <c r="C4329" s="5" t="s">
        <v>11</v>
      </c>
      <c r="D4329" s="5" t="s">
        <v>12</v>
      </c>
      <c r="E4329" s="5" t="s">
        <v>1056</v>
      </c>
    </row>
    <row r="4330" spans="1:5" x14ac:dyDescent="0.25">
      <c r="A4330" s="5">
        <f>4322</f>
      </c>
      <c r="B4330" s="5" t="s">
        <v>3482</v>
      </c>
      <c r="C4330" s="5" t="s">
        <v>11</v>
      </c>
      <c r="D4330" s="5" t="s">
        <v>12</v>
      </c>
      <c r="E4330" s="5" t="s">
        <v>1056</v>
      </c>
    </row>
    <row r="4331" spans="1:5" x14ac:dyDescent="0.25">
      <c r="A4331" s="5">
        <f>4323</f>
      </c>
      <c r="B4331" s="5" t="s">
        <v>3483</v>
      </c>
      <c r="C4331" s="5" t="s">
        <v>11</v>
      </c>
      <c r="D4331" s="5" t="s">
        <v>12</v>
      </c>
      <c r="E4331" s="5" t="s">
        <v>1056</v>
      </c>
    </row>
    <row r="4332" spans="1:5" x14ac:dyDescent="0.25">
      <c r="A4332" s="5">
        <f>4324</f>
      </c>
      <c r="B4332" s="5" t="s">
        <v>3484</v>
      </c>
      <c r="C4332" s="5" t="s">
        <v>11</v>
      </c>
      <c r="D4332" s="5" t="s">
        <v>12</v>
      </c>
      <c r="E4332" s="5" t="s">
        <v>1056</v>
      </c>
    </row>
    <row r="4333" spans="1:5" x14ac:dyDescent="0.25">
      <c r="A4333" s="5">
        <f>4325</f>
      </c>
      <c r="B4333" s="5" t="s">
        <v>3485</v>
      </c>
      <c r="C4333" s="5" t="s">
        <v>11</v>
      </c>
      <c r="D4333" s="5" t="s">
        <v>12</v>
      </c>
      <c r="E4333" s="5" t="s">
        <v>2251</v>
      </c>
    </row>
    <row r="4334" spans="1:5" x14ac:dyDescent="0.25">
      <c r="A4334" s="5">
        <f>4326</f>
      </c>
      <c r="B4334" s="5" t="s">
        <v>3486</v>
      </c>
      <c r="C4334" s="5" t="s">
        <v>11</v>
      </c>
      <c r="D4334" s="5" t="s">
        <v>12</v>
      </c>
      <c r="E4334" s="5" t="s">
        <v>2329</v>
      </c>
    </row>
    <row r="4335" spans="1:5" x14ac:dyDescent="0.25">
      <c r="A4335" s="5">
        <f>4327</f>
      </c>
      <c r="B4335" s="5" t="s">
        <v>3487</v>
      </c>
      <c r="C4335" s="5" t="s">
        <v>11</v>
      </c>
      <c r="D4335" s="5" t="s">
        <v>12</v>
      </c>
      <c r="E4335" s="5" t="s">
        <v>3488</v>
      </c>
    </row>
    <row r="4336" spans="1:5" x14ac:dyDescent="0.25">
      <c r="A4336" s="5">
        <f>4328</f>
      </c>
      <c r="B4336" s="5" t="s">
        <v>3489</v>
      </c>
      <c r="C4336" s="5" t="s">
        <v>11</v>
      </c>
      <c r="D4336" s="5" t="s">
        <v>12</v>
      </c>
      <c r="E4336" s="5" t="s">
        <v>3490</v>
      </c>
    </row>
    <row r="4337" spans="1:5" x14ac:dyDescent="0.25">
      <c r="A4337" s="5">
        <f>4329</f>
      </c>
      <c r="B4337" s="5" t="s">
        <v>3491</v>
      </c>
      <c r="C4337" s="5" t="s">
        <v>11</v>
      </c>
      <c r="D4337" s="5" t="s">
        <v>12</v>
      </c>
      <c r="E4337" s="5" t="s">
        <v>830</v>
      </c>
    </row>
    <row r="4338" spans="1:5" x14ac:dyDescent="0.25">
      <c r="A4338" s="5">
        <f>4330</f>
      </c>
      <c r="B4338" s="5" t="s">
        <v>3492</v>
      </c>
      <c r="C4338" s="5" t="s">
        <v>11</v>
      </c>
      <c r="D4338" s="5" t="s">
        <v>12</v>
      </c>
      <c r="E4338" s="5" t="s">
        <v>3493</v>
      </c>
    </row>
    <row r="4339" spans="1:5" x14ac:dyDescent="0.25">
      <c r="A4339" s="5">
        <f>4331</f>
      </c>
      <c r="B4339" s="5" t="s">
        <v>3494</v>
      </c>
      <c r="C4339" s="5" t="s">
        <v>11</v>
      </c>
      <c r="D4339" s="5" t="s">
        <v>12</v>
      </c>
      <c r="E4339" s="5" t="s">
        <v>2600</v>
      </c>
    </row>
    <row r="4340" spans="1:5" x14ac:dyDescent="0.25">
      <c r="A4340" s="5">
        <f>4332</f>
      </c>
      <c r="B4340" s="5" t="s">
        <v>3495</v>
      </c>
      <c r="C4340" s="5" t="s">
        <v>11</v>
      </c>
      <c r="D4340" s="5" t="s">
        <v>12</v>
      </c>
      <c r="E4340" s="5" t="s">
        <v>3496</v>
      </c>
    </row>
    <row r="4341" spans="1:5" x14ac:dyDescent="0.25">
      <c r="A4341" s="5">
        <f>4333</f>
      </c>
      <c r="B4341" s="5" t="s">
        <v>3497</v>
      </c>
      <c r="C4341" s="5" t="s">
        <v>11</v>
      </c>
      <c r="D4341" s="5" t="s">
        <v>12</v>
      </c>
      <c r="E4341" s="5" t="s">
        <v>2588</v>
      </c>
    </row>
    <row r="4342" spans="1:5" x14ac:dyDescent="0.25">
      <c r="A4342" s="5">
        <f>4334</f>
      </c>
      <c r="B4342" s="5" t="s">
        <v>3498</v>
      </c>
      <c r="C4342" s="5" t="s">
        <v>11</v>
      </c>
      <c r="D4342" s="5" t="s">
        <v>12</v>
      </c>
      <c r="E4342" s="5" t="s">
        <v>1020</v>
      </c>
    </row>
    <row r="4343" spans="1:5" x14ac:dyDescent="0.25">
      <c r="A4343" s="5">
        <f>4335</f>
      </c>
      <c r="B4343" s="5" t="s">
        <v>3499</v>
      </c>
      <c r="C4343" s="5" t="s">
        <v>11</v>
      </c>
      <c r="D4343" s="5" t="s">
        <v>12</v>
      </c>
      <c r="E4343" s="5" t="s">
        <v>3500</v>
      </c>
    </row>
    <row r="4344" spans="1:5" x14ac:dyDescent="0.25">
      <c r="A4344" s="5">
        <f>4336</f>
      </c>
      <c r="B4344" s="5" t="s">
        <v>3501</v>
      </c>
      <c r="C4344" s="5" t="s">
        <v>11</v>
      </c>
      <c r="D4344" s="5" t="s">
        <v>12</v>
      </c>
      <c r="E4344" s="5" t="s">
        <v>843</v>
      </c>
    </row>
    <row r="4345" spans="1:5" x14ac:dyDescent="0.25">
      <c r="A4345" s="5">
        <f>4337</f>
      </c>
      <c r="B4345" s="5" t="s">
        <v>3502</v>
      </c>
      <c r="C4345" s="5" t="s">
        <v>11</v>
      </c>
      <c r="D4345" s="5" t="s">
        <v>12</v>
      </c>
      <c r="E4345" s="5" t="s">
        <v>924</v>
      </c>
    </row>
    <row r="4346" spans="1:5" x14ac:dyDescent="0.25">
      <c r="A4346" s="5">
        <f>4338</f>
      </c>
      <c r="B4346" s="5" t="s">
        <v>3503</v>
      </c>
      <c r="C4346" s="5" t="s">
        <v>11</v>
      </c>
      <c r="D4346" s="5" t="s">
        <v>12</v>
      </c>
      <c r="E4346" s="5" t="s">
        <v>826</v>
      </c>
    </row>
    <row r="4347" spans="1:5" x14ac:dyDescent="0.25">
      <c r="A4347" s="5">
        <f>4339</f>
      </c>
      <c r="B4347" s="5" t="s">
        <v>3504</v>
      </c>
      <c r="C4347" s="5" t="s">
        <v>11</v>
      </c>
      <c r="D4347" s="5" t="s">
        <v>12</v>
      </c>
      <c r="E4347" s="5" t="s">
        <v>830</v>
      </c>
    </row>
    <row r="4348" spans="1:5" x14ac:dyDescent="0.25">
      <c r="A4348" s="5">
        <f>4340</f>
      </c>
      <c r="B4348" s="5" t="s">
        <v>3505</v>
      </c>
      <c r="C4348" s="5" t="s">
        <v>11</v>
      </c>
      <c r="D4348" s="5" t="s">
        <v>12</v>
      </c>
      <c r="E4348" s="5" t="s">
        <v>3506</v>
      </c>
    </row>
    <row r="4349" spans="1:5" x14ac:dyDescent="0.25">
      <c r="A4349" s="5">
        <f>4341</f>
      </c>
      <c r="B4349" s="5" t="s">
        <v>3507</v>
      </c>
      <c r="C4349" s="5" t="s">
        <v>11</v>
      </c>
      <c r="D4349" s="5" t="s">
        <v>12</v>
      </c>
      <c r="E4349" s="5" t="s">
        <v>871</v>
      </c>
    </row>
    <row r="4350" spans="1:5" x14ac:dyDescent="0.25">
      <c r="A4350" s="5">
        <f>4342</f>
      </c>
      <c r="B4350" s="5" t="s">
        <v>3508</v>
      </c>
      <c r="C4350" s="5" t="s">
        <v>11</v>
      </c>
      <c r="D4350" s="5" t="s">
        <v>12</v>
      </c>
      <c r="E4350" s="5" t="s">
        <v>2409</v>
      </c>
    </row>
    <row r="4351" spans="1:5" x14ac:dyDescent="0.25">
      <c r="A4351" s="5">
        <f>4343</f>
      </c>
      <c r="B4351" s="5" t="s">
        <v>3509</v>
      </c>
      <c r="C4351" s="5" t="s">
        <v>11</v>
      </c>
      <c r="D4351" s="5" t="s">
        <v>12</v>
      </c>
      <c r="E4351" s="5" t="s">
        <v>2577</v>
      </c>
    </row>
    <row r="4352" spans="1:5" x14ac:dyDescent="0.25">
      <c r="A4352" s="5">
        <f>4344</f>
      </c>
      <c r="B4352" s="5" t="s">
        <v>3510</v>
      </c>
      <c r="C4352" s="5" t="s">
        <v>11</v>
      </c>
      <c r="D4352" s="5" t="s">
        <v>12</v>
      </c>
      <c r="E4352" s="5" t="s">
        <v>2634</v>
      </c>
    </row>
    <row r="4353" spans="1:5" x14ac:dyDescent="0.25">
      <c r="A4353" s="5">
        <f>4345</f>
      </c>
      <c r="B4353" s="5" t="s">
        <v>3511</v>
      </c>
      <c r="C4353" s="5" t="s">
        <v>11</v>
      </c>
      <c r="D4353" s="5" t="s">
        <v>12</v>
      </c>
      <c r="E4353" s="5" t="s">
        <v>2634</v>
      </c>
    </row>
    <row r="4354" spans="1:5" x14ac:dyDescent="0.25">
      <c r="A4354" s="5">
        <f>4346</f>
      </c>
      <c r="B4354" s="5" t="s">
        <v>3512</v>
      </c>
      <c r="C4354" s="5" t="s">
        <v>11</v>
      </c>
      <c r="D4354" s="5" t="s">
        <v>12</v>
      </c>
      <c r="E4354" s="5" t="s">
        <v>787</v>
      </c>
    </row>
    <row r="4355" spans="1:5" x14ac:dyDescent="0.25">
      <c r="A4355" s="5">
        <f>4347</f>
      </c>
      <c r="B4355" s="5" t="s">
        <v>3513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3514</v>
      </c>
      <c r="C4356" s="5" t="s">
        <v>11</v>
      </c>
      <c r="D4356" s="5" t="s">
        <v>12</v>
      </c>
      <c r="E4356" s="5" t="s">
        <v>2251</v>
      </c>
    </row>
    <row r="4357" spans="1:5" x14ac:dyDescent="0.25">
      <c r="A4357" s="5">
        <f>4349</f>
      </c>
      <c r="B4357" s="5" t="s">
        <v>3515</v>
      </c>
      <c r="C4357" s="5" t="s">
        <v>11</v>
      </c>
      <c r="D4357" s="5" t="s">
        <v>12</v>
      </c>
      <c r="E4357" s="5" t="s">
        <v>3516</v>
      </c>
    </row>
    <row r="4358" spans="1:5" x14ac:dyDescent="0.25">
      <c r="A4358" s="5">
        <f>4350</f>
      </c>
      <c r="B4358" s="5" t="s">
        <v>3517</v>
      </c>
      <c r="C4358" s="5" t="s">
        <v>11</v>
      </c>
      <c r="D4358" s="5" t="s">
        <v>12</v>
      </c>
      <c r="E4358" s="5" t="s">
        <v>3518</v>
      </c>
    </row>
    <row r="4359" spans="1:5" x14ac:dyDescent="0.25">
      <c r="A4359" s="5">
        <f>4351</f>
      </c>
      <c r="B4359" s="5" t="s">
        <v>3519</v>
      </c>
      <c r="C4359" s="5" t="s">
        <v>11</v>
      </c>
      <c r="D4359" s="5" t="s">
        <v>12</v>
      </c>
      <c r="E4359" s="5" t="s">
        <v>3520</v>
      </c>
    </row>
    <row r="4360" spans="1:5" x14ac:dyDescent="0.25">
      <c r="A4360" s="5">
        <f>4352</f>
      </c>
      <c r="B4360" s="5" t="s">
        <v>3521</v>
      </c>
      <c r="C4360" s="5" t="s">
        <v>11</v>
      </c>
      <c r="D4360" s="5" t="s">
        <v>12</v>
      </c>
      <c r="E4360" s="5" t="s">
        <v>3425</v>
      </c>
    </row>
    <row r="4361" spans="1:5" x14ac:dyDescent="0.25">
      <c r="A4361" s="5">
        <f>4353</f>
      </c>
      <c r="B4361" s="5" t="s">
        <v>3522</v>
      </c>
      <c r="C4361" s="5" t="s">
        <v>11</v>
      </c>
      <c r="D4361" s="5" t="s">
        <v>12</v>
      </c>
      <c r="E4361" s="5" t="s">
        <v>2614</v>
      </c>
    </row>
    <row r="4362" spans="1:5" x14ac:dyDescent="0.25">
      <c r="A4362" s="5">
        <f>4354</f>
      </c>
      <c r="B4362" s="5" t="s">
        <v>3523</v>
      </c>
      <c r="C4362" s="5" t="s">
        <v>11</v>
      </c>
      <c r="D4362" s="5" t="s">
        <v>12</v>
      </c>
      <c r="E4362" s="5" t="s">
        <v>3524</v>
      </c>
    </row>
    <row r="4363" spans="1:5" x14ac:dyDescent="0.25">
      <c r="A4363" s="5">
        <f>4355</f>
      </c>
      <c r="B4363" s="5" t="s">
        <v>3525</v>
      </c>
      <c r="C4363" s="5" t="s">
        <v>11</v>
      </c>
      <c r="D4363" s="5" t="s">
        <v>12</v>
      </c>
      <c r="E4363" s="5" t="s">
        <v>730</v>
      </c>
    </row>
    <row r="4364" spans="1:5" x14ac:dyDescent="0.25">
      <c r="A4364" s="5">
        <f>4356</f>
      </c>
      <c r="B4364" s="5" t="s">
        <v>3526</v>
      </c>
      <c r="C4364" s="5" t="s">
        <v>11</v>
      </c>
      <c r="D4364" s="5" t="s">
        <v>12</v>
      </c>
      <c r="E4364" s="5" t="s">
        <v>3527</v>
      </c>
    </row>
    <row r="4365" spans="1:5" x14ac:dyDescent="0.25">
      <c r="A4365" s="5">
        <f>4357</f>
      </c>
      <c r="B4365" s="5" t="s">
        <v>3528</v>
      </c>
      <c r="C4365" s="5" t="s">
        <v>11</v>
      </c>
      <c r="D4365" s="5" t="s">
        <v>12</v>
      </c>
      <c r="E4365" s="5" t="s">
        <v>2335</v>
      </c>
    </row>
    <row r="4366" spans="1:5" x14ac:dyDescent="0.25">
      <c r="A4366" s="5">
        <f>4358</f>
      </c>
      <c r="B4366" s="5" t="s">
        <v>3529</v>
      </c>
      <c r="C4366" s="5" t="s">
        <v>11</v>
      </c>
      <c r="D4366" s="5" t="s">
        <v>12</v>
      </c>
      <c r="E4366" s="5" t="s">
        <v>3530</v>
      </c>
    </row>
    <row r="4367" spans="1:5" x14ac:dyDescent="0.25">
      <c r="A4367" s="5">
        <f>4359</f>
      </c>
      <c r="B4367" s="5" t="s">
        <v>3531</v>
      </c>
      <c r="C4367" s="5" t="s">
        <v>11</v>
      </c>
      <c r="D4367" s="5" t="s">
        <v>12</v>
      </c>
      <c r="E4367" s="5" t="s">
        <v>2404</v>
      </c>
    </row>
    <row r="4368" spans="1:5" x14ac:dyDescent="0.25">
      <c r="A4368" s="5">
        <f>4360</f>
      </c>
      <c r="B4368" s="5" t="s">
        <v>3532</v>
      </c>
      <c r="C4368" s="5" t="s">
        <v>11</v>
      </c>
      <c r="D4368" s="5" t="s">
        <v>12</v>
      </c>
      <c r="E4368" s="5" t="s">
        <v>3533</v>
      </c>
    </row>
    <row r="4369" spans="1:5" x14ac:dyDescent="0.25">
      <c r="A4369" s="5">
        <f>4361</f>
      </c>
      <c r="B4369" s="5" t="s">
        <v>3534</v>
      </c>
      <c r="C4369" s="5" t="s">
        <v>11</v>
      </c>
      <c r="D4369" s="5" t="s">
        <v>12</v>
      </c>
      <c r="E4369" s="5" t="s">
        <v>2338</v>
      </c>
    </row>
    <row r="4370" spans="1:5" x14ac:dyDescent="0.25">
      <c r="A4370" s="5">
        <f>4362</f>
      </c>
      <c r="B4370" s="5" t="s">
        <v>3535</v>
      </c>
      <c r="C4370" s="5" t="s">
        <v>11</v>
      </c>
      <c r="D4370" s="5" t="s">
        <v>12</v>
      </c>
      <c r="E4370" s="5" t="s">
        <v>3536</v>
      </c>
    </row>
    <row r="4371" spans="1:5" x14ac:dyDescent="0.25">
      <c r="A4371" s="5">
        <f>4363</f>
      </c>
      <c r="B4371" s="5" t="s">
        <v>3537</v>
      </c>
      <c r="C4371" s="5" t="s">
        <v>11</v>
      </c>
      <c r="D4371" s="5" t="s">
        <v>12</v>
      </c>
      <c r="E4371" s="5" t="s">
        <v>3538</v>
      </c>
    </row>
    <row r="4372" spans="1:5" x14ac:dyDescent="0.25">
      <c r="A4372" s="5">
        <f>4364</f>
      </c>
      <c r="B4372" s="5" t="s">
        <v>3539</v>
      </c>
      <c r="C4372" s="5" t="s">
        <v>11</v>
      </c>
      <c r="D4372" s="5" t="s">
        <v>12</v>
      </c>
      <c r="E4372" s="5" t="s">
        <v>2661</v>
      </c>
    </row>
    <row r="4373" spans="1:5" x14ac:dyDescent="0.25">
      <c r="A4373" s="5">
        <f>4365</f>
      </c>
      <c r="B4373" s="5" t="s">
        <v>3540</v>
      </c>
      <c r="C4373" s="5" t="s">
        <v>11</v>
      </c>
      <c r="D4373" s="5" t="s">
        <v>12</v>
      </c>
      <c r="E4373" s="5" t="s">
        <v>1022</v>
      </c>
    </row>
    <row r="4374" spans="1:5" x14ac:dyDescent="0.25">
      <c r="A4374" s="5">
        <f>4366</f>
      </c>
      <c r="B4374" s="5" t="s">
        <v>3541</v>
      </c>
      <c r="C4374" s="5" t="s">
        <v>11</v>
      </c>
      <c r="D4374" s="5" t="s">
        <v>12</v>
      </c>
      <c r="E4374" s="5" t="s">
        <v>832</v>
      </c>
    </row>
    <row r="4375" spans="1:5" x14ac:dyDescent="0.25">
      <c r="A4375" s="5">
        <f>4367</f>
      </c>
      <c r="B4375" s="5" t="s">
        <v>3542</v>
      </c>
      <c r="C4375" s="5" t="s">
        <v>11</v>
      </c>
      <c r="D4375" s="5" t="s">
        <v>12</v>
      </c>
      <c r="E4375" s="5" t="s">
        <v>3543</v>
      </c>
    </row>
    <row r="4376" spans="1:5" x14ac:dyDescent="0.25">
      <c r="A4376" s="5">
        <f>4368</f>
      </c>
      <c r="B4376" s="5" t="s">
        <v>3544</v>
      </c>
      <c r="C4376" s="5" t="s">
        <v>11</v>
      </c>
      <c r="D4376" s="5" t="s">
        <v>12</v>
      </c>
      <c r="E4376" s="5" t="s">
        <v>3545</v>
      </c>
    </row>
    <row r="4377" spans="1:5" x14ac:dyDescent="0.25">
      <c r="A4377" s="5">
        <f>4369</f>
      </c>
      <c r="B4377" s="5" t="s">
        <v>3546</v>
      </c>
      <c r="C4377" s="5" t="s">
        <v>11</v>
      </c>
      <c r="D4377" s="5" t="s">
        <v>12</v>
      </c>
      <c r="E4377" s="5" t="s">
        <v>2335</v>
      </c>
    </row>
    <row r="4378" spans="1:5" x14ac:dyDescent="0.25">
      <c r="A4378" s="5">
        <f>4370</f>
      </c>
      <c r="B4378" s="5" t="s">
        <v>3547</v>
      </c>
      <c r="C4378" s="5" t="s">
        <v>11</v>
      </c>
      <c r="D4378" s="5" t="s">
        <v>12</v>
      </c>
      <c r="E4378" s="5" t="s">
        <v>963</v>
      </c>
    </row>
    <row r="4379" spans="1:5" x14ac:dyDescent="0.25">
      <c r="A4379" s="5">
        <f>4371</f>
      </c>
      <c r="B4379" s="5" t="s">
        <v>3548</v>
      </c>
      <c r="C4379" s="5" t="s">
        <v>11</v>
      </c>
      <c r="D4379" s="5" t="s">
        <v>12</v>
      </c>
      <c r="E4379" s="5" t="s">
        <v>3549</v>
      </c>
    </row>
    <row r="4380" spans="1:5" x14ac:dyDescent="0.25">
      <c r="A4380" s="5">
        <f>4372</f>
      </c>
      <c r="B4380" s="5" t="s">
        <v>3550</v>
      </c>
      <c r="C4380" s="5" t="s">
        <v>11</v>
      </c>
      <c r="D4380" s="5" t="s">
        <v>12</v>
      </c>
      <c r="E4380" s="5" t="s">
        <v>1053</v>
      </c>
    </row>
    <row r="4381" spans="1:5" x14ac:dyDescent="0.25">
      <c r="A4381" s="5">
        <f>4373</f>
      </c>
      <c r="B4381" s="5" t="s">
        <v>3551</v>
      </c>
      <c r="C4381" s="5" t="s">
        <v>11</v>
      </c>
      <c r="D4381" s="5" t="s">
        <v>12</v>
      </c>
      <c r="E4381" s="5" t="s">
        <v>2671</v>
      </c>
    </row>
    <row r="4382" spans="1:5" x14ac:dyDescent="0.25">
      <c r="A4382" s="5">
        <f>4374</f>
      </c>
      <c r="B4382" s="5" t="s">
        <v>3552</v>
      </c>
      <c r="C4382" s="5" t="s">
        <v>11</v>
      </c>
      <c r="D4382" s="5" t="s">
        <v>12</v>
      </c>
      <c r="E4382" s="5" t="s">
        <v>935</v>
      </c>
    </row>
    <row r="4383" spans="1:5" x14ac:dyDescent="0.25">
      <c r="A4383" s="5">
        <f>4375</f>
      </c>
      <c r="B4383" s="5" t="s">
        <v>3553</v>
      </c>
      <c r="C4383" s="5" t="s">
        <v>11</v>
      </c>
      <c r="D4383" s="5" t="s">
        <v>12</v>
      </c>
      <c r="E4383" s="5" t="s">
        <v>873</v>
      </c>
    </row>
    <row r="4384" spans="1:5" x14ac:dyDescent="0.25">
      <c r="A4384" s="5">
        <f>4376</f>
      </c>
      <c r="B4384" s="5" t="s">
        <v>3554</v>
      </c>
      <c r="C4384" s="5" t="s">
        <v>11</v>
      </c>
      <c r="D4384" s="5" t="s">
        <v>12</v>
      </c>
      <c r="E4384" s="5" t="s">
        <v>3555</v>
      </c>
    </row>
    <row r="4385" spans="1:5" x14ac:dyDescent="0.25">
      <c r="A4385" s="5">
        <f>4377</f>
      </c>
      <c r="B4385" s="5" t="s">
        <v>3556</v>
      </c>
      <c r="C4385" s="5" t="s">
        <v>11</v>
      </c>
      <c r="D4385" s="5" t="s">
        <v>12</v>
      </c>
      <c r="E4385" s="5" t="s">
        <v>3555</v>
      </c>
    </row>
    <row r="4386" spans="1:5" x14ac:dyDescent="0.25">
      <c r="A4386" s="5">
        <f>4378</f>
      </c>
      <c r="B4386" s="5" t="s">
        <v>3557</v>
      </c>
      <c r="C4386" s="5" t="s">
        <v>11</v>
      </c>
      <c r="D4386" s="5" t="s">
        <v>12</v>
      </c>
      <c r="E4386" s="5" t="s">
        <v>2309</v>
      </c>
    </row>
    <row r="4387" spans="1:5" x14ac:dyDescent="0.25">
      <c r="A4387" s="5">
        <f>4379</f>
      </c>
      <c r="B4387" s="5" t="s">
        <v>3558</v>
      </c>
      <c r="C4387" s="5" t="s">
        <v>11</v>
      </c>
      <c r="D4387" s="5" t="s">
        <v>12</v>
      </c>
      <c r="E4387" s="5" t="s">
        <v>3559</v>
      </c>
    </row>
    <row r="4388" spans="1:5" x14ac:dyDescent="0.25">
      <c r="A4388" s="5">
        <f>4380</f>
      </c>
      <c r="B4388" s="5" t="s">
        <v>3560</v>
      </c>
      <c r="C4388" s="5" t="s">
        <v>11</v>
      </c>
      <c r="D4388" s="5" t="s">
        <v>12</v>
      </c>
      <c r="E4388" s="5" t="s">
        <v>3561</v>
      </c>
    </row>
    <row r="4389" spans="1:5" x14ac:dyDescent="0.25">
      <c r="A4389" s="5">
        <f>4381</f>
      </c>
      <c r="B4389" s="5" t="s">
        <v>3562</v>
      </c>
      <c r="C4389" s="5" t="s">
        <v>11</v>
      </c>
      <c r="D4389" s="5" t="s">
        <v>12</v>
      </c>
      <c r="E4389" s="5" t="s">
        <v>3563</v>
      </c>
    </row>
    <row r="4390" spans="1:5" x14ac:dyDescent="0.25">
      <c r="A4390" s="5">
        <f>4382</f>
      </c>
      <c r="B4390" s="5" t="s">
        <v>3564</v>
      </c>
      <c r="C4390" s="5" t="s">
        <v>11</v>
      </c>
      <c r="D4390" s="5" t="s">
        <v>12</v>
      </c>
      <c r="E4390" s="5" t="s">
        <v>3565</v>
      </c>
    </row>
    <row r="4391" spans="1:5" x14ac:dyDescent="0.25">
      <c r="A4391" s="5">
        <f>4383</f>
      </c>
      <c r="B4391" s="5" t="s">
        <v>3566</v>
      </c>
      <c r="C4391" s="5" t="s">
        <v>11</v>
      </c>
      <c r="D4391" s="5" t="s">
        <v>12</v>
      </c>
      <c r="E4391" s="5" t="s">
        <v>2404</v>
      </c>
    </row>
    <row r="4392" spans="1:5" x14ac:dyDescent="0.25">
      <c r="A4392" s="5">
        <f>4384</f>
      </c>
      <c r="B4392" s="5" t="s">
        <v>3567</v>
      </c>
      <c r="C4392" s="5" t="s">
        <v>11</v>
      </c>
      <c r="D4392" s="5" t="s">
        <v>12</v>
      </c>
      <c r="E4392" s="5" t="s">
        <v>2586</v>
      </c>
    </row>
    <row r="4393" spans="1:5" x14ac:dyDescent="0.25">
      <c r="A4393" s="5">
        <f>4385</f>
      </c>
      <c r="B4393" s="5" t="s">
        <v>3568</v>
      </c>
      <c r="C4393" s="5" t="s">
        <v>11</v>
      </c>
      <c r="D4393" s="5" t="s">
        <v>12</v>
      </c>
      <c r="E4393" s="5" t="s">
        <v>3569</v>
      </c>
    </row>
    <row r="4394" spans="1:5" x14ac:dyDescent="0.25">
      <c r="A4394" s="5">
        <f>4386</f>
      </c>
      <c r="B4394" s="5" t="s">
        <v>3570</v>
      </c>
      <c r="C4394" s="5" t="s">
        <v>11</v>
      </c>
      <c r="D4394" s="5" t="s">
        <v>12</v>
      </c>
      <c r="E4394" s="5" t="s">
        <v>3571</v>
      </c>
    </row>
    <row r="4395" spans="1:5" x14ac:dyDescent="0.25">
      <c r="A4395" s="5">
        <f>4387</f>
      </c>
      <c r="B4395" s="5" t="s">
        <v>3572</v>
      </c>
      <c r="C4395" s="5" t="s">
        <v>11</v>
      </c>
      <c r="D4395" s="5" t="s">
        <v>12</v>
      </c>
      <c r="E4395" s="5" t="s">
        <v>840</v>
      </c>
    </row>
    <row r="4396" spans="1:5" x14ac:dyDescent="0.25">
      <c r="A4396" s="5">
        <f>4388</f>
      </c>
      <c r="B4396" s="5" t="s">
        <v>3573</v>
      </c>
      <c r="C4396" s="5" t="s">
        <v>11</v>
      </c>
      <c r="D4396" s="5" t="s">
        <v>12</v>
      </c>
      <c r="E4396" s="5" t="s">
        <v>2381</v>
      </c>
    </row>
    <row r="4397" spans="1:5" x14ac:dyDescent="0.25">
      <c r="A4397" s="5">
        <f>4389</f>
      </c>
      <c r="B4397" s="5" t="s">
        <v>3574</v>
      </c>
      <c r="C4397" s="5" t="s">
        <v>11</v>
      </c>
      <c r="D4397" s="5" t="s">
        <v>12</v>
      </c>
      <c r="E4397" s="5" t="s">
        <v>2582</v>
      </c>
    </row>
    <row r="4398" spans="1:5" x14ac:dyDescent="0.25">
      <c r="A4398" s="5">
        <f>4390</f>
      </c>
      <c r="B4398" s="5" t="s">
        <v>3575</v>
      </c>
      <c r="C4398" s="5" t="s">
        <v>11</v>
      </c>
      <c r="D4398" s="5" t="s">
        <v>12</v>
      </c>
      <c r="E4398" s="5" t="s">
        <v>2255</v>
      </c>
    </row>
    <row r="4399" spans="1:5" x14ac:dyDescent="0.25">
      <c r="A4399" s="5">
        <f>4391</f>
      </c>
      <c r="B4399" s="5" t="s">
        <v>3576</v>
      </c>
      <c r="C4399" s="5" t="s">
        <v>11</v>
      </c>
      <c r="D4399" s="5" t="s">
        <v>12</v>
      </c>
      <c r="E4399" s="5" t="s">
        <v>2255</v>
      </c>
    </row>
    <row r="4400" spans="1:5" x14ac:dyDescent="0.25">
      <c r="A4400" s="5">
        <f>4392</f>
      </c>
      <c r="B4400" s="5" t="s">
        <v>3577</v>
      </c>
      <c r="C4400" s="5" t="s">
        <v>11</v>
      </c>
      <c r="D4400" s="5" t="s">
        <v>12</v>
      </c>
      <c r="E4400" s="5" t="s">
        <v>2575</v>
      </c>
    </row>
    <row r="4401" spans="1:5" x14ac:dyDescent="0.25">
      <c r="A4401" s="5">
        <f>4393</f>
      </c>
      <c r="B4401" s="5" t="s">
        <v>3578</v>
      </c>
      <c r="C4401" s="5" t="s">
        <v>11</v>
      </c>
      <c r="D4401" s="5" t="s">
        <v>12</v>
      </c>
      <c r="E4401" s="5" t="s">
        <v>726</v>
      </c>
    </row>
    <row r="4402" spans="1:5" x14ac:dyDescent="0.25">
      <c r="A4402" s="5">
        <f>4394</f>
      </c>
      <c r="B4402" s="5" t="s">
        <v>3579</v>
      </c>
      <c r="C4402" s="5" t="s">
        <v>11</v>
      </c>
      <c r="D4402" s="5" t="s">
        <v>12</v>
      </c>
      <c r="E4402" s="5" t="s">
        <v>3580</v>
      </c>
    </row>
    <row r="4403" spans="1:5" x14ac:dyDescent="0.25">
      <c r="A4403" s="5">
        <f>4395</f>
      </c>
      <c r="B4403" s="5" t="s">
        <v>3581</v>
      </c>
      <c r="C4403" s="5" t="s">
        <v>11</v>
      </c>
      <c r="D4403" s="5" t="s">
        <v>12</v>
      </c>
      <c r="E4403" s="5" t="s">
        <v>1060</v>
      </c>
    </row>
    <row r="4404" spans="1:5" x14ac:dyDescent="0.25">
      <c r="A4404" s="5">
        <f>4396</f>
      </c>
      <c r="B4404" s="5" t="s">
        <v>3582</v>
      </c>
      <c r="C4404" s="5" t="s">
        <v>11</v>
      </c>
      <c r="D4404" s="5" t="s">
        <v>12</v>
      </c>
      <c r="E4404" s="5" t="s">
        <v>3583</v>
      </c>
    </row>
    <row r="4405" spans="1:5" x14ac:dyDescent="0.25">
      <c r="A4405" s="5">
        <f>4397</f>
      </c>
      <c r="B4405" s="5" t="s">
        <v>3584</v>
      </c>
      <c r="C4405" s="5" t="s">
        <v>11</v>
      </c>
      <c r="D4405" s="5" t="s">
        <v>12</v>
      </c>
      <c r="E4405" s="5" t="s">
        <v>3530</v>
      </c>
    </row>
    <row r="4406" spans="1:5" x14ac:dyDescent="0.25">
      <c r="A4406" s="5">
        <f>4398</f>
      </c>
      <c r="B4406" s="5" t="s">
        <v>3585</v>
      </c>
      <c r="C4406" s="5" t="s">
        <v>11</v>
      </c>
      <c r="D4406" s="5" t="s">
        <v>12</v>
      </c>
      <c r="E4406" s="5" t="s">
        <v>3586</v>
      </c>
    </row>
    <row r="4407" spans="1:5" x14ac:dyDescent="0.25">
      <c r="A4407" s="5">
        <f>4399</f>
      </c>
      <c r="B4407" s="5" t="s">
        <v>3587</v>
      </c>
      <c r="C4407" s="5" t="s">
        <v>11</v>
      </c>
      <c r="D4407" s="5" t="s">
        <v>12</v>
      </c>
      <c r="E4407" s="5" t="s">
        <v>917</v>
      </c>
    </row>
    <row r="4408" spans="1:5" x14ac:dyDescent="0.25">
      <c r="A4408" s="5">
        <f>4400</f>
      </c>
      <c r="B4408" s="5" t="s">
        <v>3588</v>
      </c>
      <c r="C4408" s="5" t="s">
        <v>11</v>
      </c>
      <c r="D4408" s="5" t="s">
        <v>12</v>
      </c>
      <c r="E4408" s="5" t="s">
        <v>3589</v>
      </c>
    </row>
    <row r="4409" spans="1:5" x14ac:dyDescent="0.25">
      <c r="A4409" s="5">
        <f>4401</f>
      </c>
      <c r="B4409" s="5" t="s">
        <v>3590</v>
      </c>
      <c r="C4409" s="5" t="s">
        <v>11</v>
      </c>
      <c r="D4409" s="5" t="s">
        <v>12</v>
      </c>
      <c r="E4409" s="5" t="s">
        <v>2632</v>
      </c>
    </row>
    <row r="4410" spans="1:5" x14ac:dyDescent="0.25">
      <c r="A4410" s="5">
        <f>4402</f>
      </c>
      <c r="B4410" s="5" t="s">
        <v>3591</v>
      </c>
      <c r="C4410" s="5" t="s">
        <v>11</v>
      </c>
      <c r="D4410" s="5" t="s">
        <v>12</v>
      </c>
      <c r="E4410" s="5" t="s">
        <v>2632</v>
      </c>
    </row>
    <row r="4411" spans="1:5" x14ac:dyDescent="0.25">
      <c r="A4411" s="5">
        <f>4403</f>
      </c>
      <c r="B4411" s="5" t="s">
        <v>3592</v>
      </c>
      <c r="C4411" s="5" t="s">
        <v>11</v>
      </c>
      <c r="D4411" s="5" t="s">
        <v>12</v>
      </c>
      <c r="E4411" s="5" t="s">
        <v>2632</v>
      </c>
    </row>
    <row r="4412" spans="1:5" x14ac:dyDescent="0.25">
      <c r="A4412" s="5">
        <f>4404</f>
      </c>
      <c r="B4412" s="5" t="s">
        <v>3593</v>
      </c>
      <c r="C4412" s="5" t="s">
        <v>11</v>
      </c>
      <c r="D4412" s="5" t="s">
        <v>12</v>
      </c>
      <c r="E4412" s="5" t="s">
        <v>2632</v>
      </c>
    </row>
    <row r="4413" spans="1:5" x14ac:dyDescent="0.25">
      <c r="A4413" s="5">
        <f>4405</f>
      </c>
      <c r="B4413" s="5" t="s">
        <v>3594</v>
      </c>
      <c r="C4413" s="5" t="s">
        <v>11</v>
      </c>
      <c r="D4413" s="5" t="s">
        <v>12</v>
      </c>
      <c r="E4413" s="5" t="s">
        <v>732</v>
      </c>
    </row>
    <row r="4414" spans="1:5" x14ac:dyDescent="0.25">
      <c r="A4414" s="5">
        <f>4406</f>
      </c>
      <c r="B4414" s="5" t="s">
        <v>3595</v>
      </c>
      <c r="C4414" s="5" t="s">
        <v>11</v>
      </c>
      <c r="D4414" s="5" t="s">
        <v>12</v>
      </c>
      <c r="E4414" s="5" t="s">
        <v>732</v>
      </c>
    </row>
    <row r="4415" spans="1:5" x14ac:dyDescent="0.25">
      <c r="A4415" s="5">
        <f>4407</f>
      </c>
      <c r="B4415" s="5" t="s">
        <v>3596</v>
      </c>
      <c r="C4415" s="5" t="s">
        <v>11</v>
      </c>
      <c r="D4415" s="5" t="s">
        <v>12</v>
      </c>
      <c r="E4415" s="5" t="s">
        <v>2259</v>
      </c>
    </row>
    <row r="4416" spans="1:5" x14ac:dyDescent="0.25">
      <c r="A4416" s="5">
        <f>4408</f>
      </c>
      <c r="B4416" s="5" t="s">
        <v>3597</v>
      </c>
      <c r="C4416" s="5" t="s">
        <v>11</v>
      </c>
      <c r="D4416" s="5" t="s">
        <v>12</v>
      </c>
      <c r="E4416" s="5" t="s">
        <v>3598</v>
      </c>
    </row>
    <row r="4417" spans="1:5" x14ac:dyDescent="0.25">
      <c r="A4417" s="5">
        <f>4409</f>
      </c>
      <c r="B4417" s="5" t="s">
        <v>3599</v>
      </c>
      <c r="C4417" s="5" t="s">
        <v>11</v>
      </c>
      <c r="D4417" s="5" t="s">
        <v>12</v>
      </c>
      <c r="E4417" s="5" t="s">
        <v>2869</v>
      </c>
    </row>
    <row r="4418" spans="1:5" x14ac:dyDescent="0.25">
      <c r="A4418" s="5">
        <f>4410</f>
      </c>
      <c r="B4418" s="5" t="s">
        <v>3600</v>
      </c>
      <c r="C4418" s="5" t="s">
        <v>11</v>
      </c>
      <c r="D4418" s="5" t="s">
        <v>12</v>
      </c>
      <c r="E4418" s="5" t="s">
        <v>3601</v>
      </c>
    </row>
    <row r="4419" spans="1:5" x14ac:dyDescent="0.25">
      <c r="A4419" s="5">
        <f>4411</f>
      </c>
      <c r="B4419" s="5" t="s">
        <v>3602</v>
      </c>
      <c r="C4419" s="5" t="s">
        <v>11</v>
      </c>
      <c r="D4419" s="5" t="s">
        <v>12</v>
      </c>
      <c r="E4419" s="5" t="s">
        <v>3488</v>
      </c>
    </row>
    <row r="4420" spans="1:5" x14ac:dyDescent="0.25">
      <c r="A4420" s="5">
        <f>4412</f>
      </c>
      <c r="B4420" s="5" t="s">
        <v>3603</v>
      </c>
      <c r="C4420" s="5" t="s">
        <v>11</v>
      </c>
      <c r="D4420" s="5" t="s">
        <v>12</v>
      </c>
      <c r="E4420" s="5" t="s">
        <v>3604</v>
      </c>
    </row>
    <row r="4421" spans="1:5" x14ac:dyDescent="0.25">
      <c r="A4421" s="5">
        <f>4413</f>
      </c>
      <c r="B4421" s="5" t="s">
        <v>3605</v>
      </c>
      <c r="C4421" s="5" t="s">
        <v>11</v>
      </c>
      <c r="D4421" s="5" t="s">
        <v>12</v>
      </c>
      <c r="E4421" s="5" t="s">
        <v>3606</v>
      </c>
    </row>
    <row r="4422" spans="1:5" x14ac:dyDescent="0.25">
      <c r="A4422" s="5">
        <f>4414</f>
      </c>
      <c r="B4422" s="5" t="s">
        <v>3607</v>
      </c>
      <c r="C4422" s="5" t="s">
        <v>11</v>
      </c>
      <c r="D4422" s="5" t="s">
        <v>12</v>
      </c>
      <c r="E4422" s="5" t="s">
        <v>3608</v>
      </c>
    </row>
    <row r="4423" spans="1:5" x14ac:dyDescent="0.25">
      <c r="A4423" s="5">
        <f>4415</f>
      </c>
      <c r="B4423" s="5" t="s">
        <v>3609</v>
      </c>
      <c r="C4423" s="5" t="s">
        <v>11</v>
      </c>
      <c r="D4423" s="5" t="s">
        <v>12</v>
      </c>
      <c r="E4423" s="5" t="s">
        <v>3610</v>
      </c>
    </row>
    <row r="4424" spans="1:5" x14ac:dyDescent="0.25">
      <c r="A4424" s="5">
        <f>4416</f>
      </c>
      <c r="B4424" s="5" t="s">
        <v>3611</v>
      </c>
      <c r="C4424" s="5" t="s">
        <v>11</v>
      </c>
      <c r="D4424" s="5" t="s">
        <v>12</v>
      </c>
      <c r="E4424" s="5" t="s">
        <v>3610</v>
      </c>
    </row>
    <row r="4425" spans="1:5" x14ac:dyDescent="0.25">
      <c r="A4425" s="5">
        <f>4417</f>
      </c>
      <c r="B4425" s="5" t="s">
        <v>3612</v>
      </c>
      <c r="C4425" s="5" t="s">
        <v>11</v>
      </c>
      <c r="D4425" s="5" t="s">
        <v>12</v>
      </c>
      <c r="E4425" s="5" t="s">
        <v>3610</v>
      </c>
    </row>
    <row r="4426" spans="1:5" x14ac:dyDescent="0.25">
      <c r="A4426" s="5">
        <f>4418</f>
      </c>
      <c r="B4426" s="5" t="s">
        <v>3613</v>
      </c>
      <c r="C4426" s="5" t="s">
        <v>11</v>
      </c>
      <c r="D4426" s="5" t="s">
        <v>12</v>
      </c>
      <c r="E4426" s="5" t="s">
        <v>3610</v>
      </c>
    </row>
    <row r="4427" spans="1:5" x14ac:dyDescent="0.25">
      <c r="A4427" s="5">
        <f>4419</f>
      </c>
      <c r="B4427" s="5" t="s">
        <v>3614</v>
      </c>
      <c r="C4427" s="5" t="s">
        <v>11</v>
      </c>
      <c r="D4427" s="5" t="s">
        <v>12</v>
      </c>
      <c r="E4427" s="5" t="s">
        <v>3376</v>
      </c>
    </row>
    <row r="4428" spans="1:5" x14ac:dyDescent="0.25">
      <c r="A4428" s="5">
        <f>4420</f>
      </c>
      <c r="B4428" s="5" t="s">
        <v>3615</v>
      </c>
      <c r="C4428" s="5" t="s">
        <v>11</v>
      </c>
      <c r="D4428" s="5" t="s">
        <v>12</v>
      </c>
      <c r="E4428" s="5" t="s">
        <v>3376</v>
      </c>
    </row>
    <row r="4429" spans="1:5" x14ac:dyDescent="0.25">
      <c r="A4429" s="5">
        <f>4421</f>
      </c>
      <c r="B4429" s="5" t="s">
        <v>3616</v>
      </c>
      <c r="C4429" s="5" t="s">
        <v>11</v>
      </c>
      <c r="D4429" s="5" t="s">
        <v>12</v>
      </c>
      <c r="E4429" s="5" t="s">
        <v>2821</v>
      </c>
    </row>
    <row r="4430" spans="1:5" x14ac:dyDescent="0.25">
      <c r="A4430" s="5">
        <f>4422</f>
      </c>
      <c r="B4430" s="5" t="s">
        <v>3617</v>
      </c>
      <c r="C4430" s="5" t="s">
        <v>11</v>
      </c>
      <c r="D4430" s="5" t="s">
        <v>12</v>
      </c>
      <c r="E4430" s="5" t="s">
        <v>2343</v>
      </c>
    </row>
    <row r="4431" spans="1:5" x14ac:dyDescent="0.25">
      <c r="A4431" s="5">
        <f>4423</f>
      </c>
      <c r="B4431" s="5" t="s">
        <v>3618</v>
      </c>
      <c r="C4431" s="5" t="s">
        <v>11</v>
      </c>
      <c r="D4431" s="5" t="s">
        <v>12</v>
      </c>
      <c r="E4431" s="5" t="s">
        <v>2255</v>
      </c>
    </row>
    <row r="4432" spans="1:5" x14ac:dyDescent="0.25">
      <c r="A4432" s="5">
        <f>4424</f>
      </c>
      <c r="B4432" s="5" t="s">
        <v>3619</v>
      </c>
      <c r="C4432" s="5" t="s">
        <v>11</v>
      </c>
      <c r="D4432" s="5" t="s">
        <v>12</v>
      </c>
      <c r="E4432" s="5" t="s">
        <v>2645</v>
      </c>
    </row>
    <row r="4433" spans="1:5" x14ac:dyDescent="0.25">
      <c r="A4433" s="5">
        <f>4425</f>
      </c>
      <c r="B4433" s="5" t="s">
        <v>3620</v>
      </c>
      <c r="C4433" s="5" t="s">
        <v>11</v>
      </c>
      <c r="D4433" s="5" t="s">
        <v>12</v>
      </c>
      <c r="E4433" s="5" t="s">
        <v>3621</v>
      </c>
    </row>
    <row r="4434" spans="1:5" x14ac:dyDescent="0.25">
      <c r="A4434" s="5">
        <f>4426</f>
      </c>
      <c r="B4434" s="5" t="s">
        <v>3622</v>
      </c>
      <c r="C4434" s="5" t="s">
        <v>11</v>
      </c>
      <c r="D4434" s="5" t="s">
        <v>12</v>
      </c>
      <c r="E4434" s="5" t="s">
        <v>1025</v>
      </c>
    </row>
    <row r="4435" spans="1:5" x14ac:dyDescent="0.25">
      <c r="A4435" s="5">
        <f>4427</f>
      </c>
      <c r="B4435" s="5" t="s">
        <v>3623</v>
      </c>
      <c r="C4435" s="5" t="s">
        <v>11</v>
      </c>
      <c r="D4435" s="5" t="s">
        <v>12</v>
      </c>
      <c r="E4435" s="5" t="s">
        <v>3571</v>
      </c>
    </row>
    <row r="4436" spans="1:5" x14ac:dyDescent="0.25">
      <c r="A4436" s="5">
        <f>4428</f>
      </c>
      <c r="B4436" s="5" t="s">
        <v>3624</v>
      </c>
      <c r="C4436" s="5" t="s">
        <v>11</v>
      </c>
      <c r="D4436" s="5" t="s">
        <v>12</v>
      </c>
      <c r="E4436" s="5" t="s">
        <v>853</v>
      </c>
    </row>
    <row r="4437" spans="1:5" x14ac:dyDescent="0.25">
      <c r="A4437" s="5">
        <f>4429</f>
      </c>
      <c r="B4437" s="5" t="s">
        <v>3625</v>
      </c>
      <c r="C4437" s="5" t="s">
        <v>11</v>
      </c>
      <c r="D4437" s="5" t="s">
        <v>12</v>
      </c>
      <c r="E4437" s="5" t="s">
        <v>3626</v>
      </c>
    </row>
    <row r="4438" spans="1:5" x14ac:dyDescent="0.25">
      <c r="A4438" s="5">
        <f>4430</f>
      </c>
      <c r="B4438" s="5" t="s">
        <v>3627</v>
      </c>
      <c r="C4438" s="5" t="s">
        <v>11</v>
      </c>
      <c r="D4438" s="5" t="s">
        <v>12</v>
      </c>
      <c r="E4438" s="5" t="s">
        <v>3628</v>
      </c>
    </row>
    <row r="4439" spans="1:5" x14ac:dyDescent="0.25">
      <c r="A4439" s="5">
        <f>4431</f>
      </c>
      <c r="B4439" s="5" t="s">
        <v>3629</v>
      </c>
      <c r="C4439" s="5" t="s">
        <v>11</v>
      </c>
      <c r="D4439" s="5" t="s">
        <v>12</v>
      </c>
      <c r="E4439" s="5" t="s">
        <v>3628</v>
      </c>
    </row>
    <row r="4440" spans="1:5" x14ac:dyDescent="0.25">
      <c r="A4440" s="5">
        <f>4432</f>
      </c>
      <c r="B4440" s="5" t="s">
        <v>3630</v>
      </c>
      <c r="C4440" s="5" t="s">
        <v>11</v>
      </c>
      <c r="D4440" s="5" t="s">
        <v>12</v>
      </c>
      <c r="E4440" s="5" t="s">
        <v>3628</v>
      </c>
    </row>
    <row r="4441" spans="1:5" x14ac:dyDescent="0.25">
      <c r="A4441" s="5">
        <f>4433</f>
      </c>
      <c r="B4441" s="5" t="s">
        <v>3631</v>
      </c>
      <c r="C4441" s="5" t="s">
        <v>11</v>
      </c>
      <c r="D4441" s="5" t="s">
        <v>12</v>
      </c>
      <c r="E4441" s="5" t="s">
        <v>3628</v>
      </c>
    </row>
    <row r="4442" spans="1:5" x14ac:dyDescent="0.25">
      <c r="A4442" s="5">
        <f>4434</f>
      </c>
      <c r="B4442" s="5" t="s">
        <v>3632</v>
      </c>
      <c r="C4442" s="5" t="s">
        <v>11</v>
      </c>
      <c r="D4442" s="5" t="s">
        <v>12</v>
      </c>
      <c r="E4442" s="5" t="s">
        <v>3628</v>
      </c>
    </row>
    <row r="4443" spans="1:5" x14ac:dyDescent="0.25">
      <c r="A4443" s="5">
        <f>4435</f>
      </c>
      <c r="B4443" s="5" t="s">
        <v>3633</v>
      </c>
      <c r="C4443" s="5" t="s">
        <v>11</v>
      </c>
      <c r="D4443" s="5" t="s">
        <v>12</v>
      </c>
      <c r="E4443" s="5" t="s">
        <v>3628</v>
      </c>
    </row>
    <row r="4444" spans="1:5" x14ac:dyDescent="0.25">
      <c r="A4444" s="5">
        <f>4436</f>
      </c>
      <c r="B4444" s="5" t="s">
        <v>3634</v>
      </c>
      <c r="C4444" s="5" t="s">
        <v>11</v>
      </c>
      <c r="D4444" s="5" t="s">
        <v>12</v>
      </c>
      <c r="E4444" s="5" t="s">
        <v>3628</v>
      </c>
    </row>
    <row r="4445" spans="1:5" x14ac:dyDescent="0.25">
      <c r="A4445" s="5">
        <f>4437</f>
      </c>
      <c r="B4445" s="5" t="s">
        <v>3635</v>
      </c>
      <c r="C4445" s="5" t="s">
        <v>11</v>
      </c>
      <c r="D4445" s="5" t="s">
        <v>12</v>
      </c>
      <c r="E4445" s="5" t="s">
        <v>3628</v>
      </c>
    </row>
    <row r="4446" spans="1:5" x14ac:dyDescent="0.25">
      <c r="A4446" s="5">
        <f>4438</f>
      </c>
      <c r="B4446" s="5" t="s">
        <v>3636</v>
      </c>
      <c r="C4446" s="5" t="s">
        <v>11</v>
      </c>
      <c r="D4446" s="5" t="s">
        <v>12</v>
      </c>
      <c r="E4446" s="5" t="s">
        <v>3628</v>
      </c>
    </row>
    <row r="4447" spans="1:5" x14ac:dyDescent="0.25">
      <c r="A4447" s="5">
        <f>4439</f>
      </c>
      <c r="B4447" s="5" t="s">
        <v>3637</v>
      </c>
      <c r="C4447" s="5" t="s">
        <v>11</v>
      </c>
      <c r="D4447" s="5" t="s">
        <v>12</v>
      </c>
      <c r="E4447" s="5" t="s">
        <v>3628</v>
      </c>
    </row>
    <row r="4448" spans="1:5" x14ac:dyDescent="0.25">
      <c r="A4448" s="5">
        <f>4440</f>
      </c>
      <c r="B4448" s="5" t="s">
        <v>3638</v>
      </c>
      <c r="C4448" s="5" t="s">
        <v>11</v>
      </c>
      <c r="D4448" s="5" t="s">
        <v>12</v>
      </c>
      <c r="E4448" s="5" t="s">
        <v>3628</v>
      </c>
    </row>
    <row r="4449" spans="1:5" x14ac:dyDescent="0.25">
      <c r="A4449" s="5">
        <f>4441</f>
      </c>
      <c r="B4449" s="5" t="s">
        <v>3639</v>
      </c>
      <c r="C4449" s="5" t="s">
        <v>11</v>
      </c>
      <c r="D4449" s="5" t="s">
        <v>12</v>
      </c>
      <c r="E4449" s="5" t="s">
        <v>3628</v>
      </c>
    </row>
    <row r="4450" spans="1:5" x14ac:dyDescent="0.25">
      <c r="A4450" s="5">
        <f>4442</f>
      </c>
      <c r="B4450" s="5" t="s">
        <v>3640</v>
      </c>
      <c r="C4450" s="5" t="s">
        <v>11</v>
      </c>
      <c r="D4450" s="5" t="s">
        <v>12</v>
      </c>
      <c r="E4450" s="5" t="s">
        <v>3628</v>
      </c>
    </row>
    <row r="4451" spans="1:5" x14ac:dyDescent="0.25">
      <c r="A4451" s="5">
        <f>4443</f>
      </c>
      <c r="B4451" s="5" t="s">
        <v>3641</v>
      </c>
      <c r="C4451" s="5" t="s">
        <v>11</v>
      </c>
      <c r="D4451" s="5" t="s">
        <v>12</v>
      </c>
      <c r="E4451" s="5" t="s">
        <v>3628</v>
      </c>
    </row>
    <row r="4452" spans="1:5" x14ac:dyDescent="0.25">
      <c r="A4452" s="5">
        <f>4444</f>
      </c>
      <c r="B4452" s="5" t="s">
        <v>3642</v>
      </c>
      <c r="C4452" s="5" t="s">
        <v>11</v>
      </c>
      <c r="D4452" s="5" t="s">
        <v>12</v>
      </c>
      <c r="E4452" s="5" t="s">
        <v>3628</v>
      </c>
    </row>
    <row r="4453" spans="1:5" x14ac:dyDescent="0.25">
      <c r="A4453" s="5">
        <f>4445</f>
      </c>
      <c r="B4453" s="5" t="s">
        <v>3643</v>
      </c>
      <c r="C4453" s="5" t="s">
        <v>11</v>
      </c>
      <c r="D4453" s="5" t="s">
        <v>12</v>
      </c>
      <c r="E4453" s="5" t="s">
        <v>3628</v>
      </c>
    </row>
    <row r="4454" spans="1:5" x14ac:dyDescent="0.25">
      <c r="A4454" s="5">
        <f>4446</f>
      </c>
      <c r="B4454" s="5" t="s">
        <v>3644</v>
      </c>
      <c r="C4454" s="5" t="s">
        <v>11</v>
      </c>
      <c r="D4454" s="5" t="s">
        <v>12</v>
      </c>
      <c r="E4454" s="5" t="s">
        <v>3628</v>
      </c>
    </row>
    <row r="4455" spans="1:5" x14ac:dyDescent="0.25">
      <c r="A4455" s="5">
        <f>4447</f>
      </c>
      <c r="B4455" s="5" t="s">
        <v>3645</v>
      </c>
      <c r="C4455" s="5" t="s">
        <v>11</v>
      </c>
      <c r="D4455" s="5" t="s">
        <v>12</v>
      </c>
      <c r="E4455" s="5" t="s">
        <v>3628</v>
      </c>
    </row>
    <row r="4456" spans="1:5" x14ac:dyDescent="0.25">
      <c r="A4456" s="5">
        <f>4448</f>
      </c>
      <c r="B4456" s="5" t="s">
        <v>3646</v>
      </c>
      <c r="C4456" s="5" t="s">
        <v>11</v>
      </c>
      <c r="D4456" s="5" t="s">
        <v>12</v>
      </c>
      <c r="E4456" s="5" t="s">
        <v>3628</v>
      </c>
    </row>
    <row r="4457" spans="1:5" x14ac:dyDescent="0.25">
      <c r="A4457" s="5">
        <f>4449</f>
      </c>
      <c r="B4457" s="5" t="s">
        <v>3647</v>
      </c>
      <c r="C4457" s="5" t="s">
        <v>11</v>
      </c>
      <c r="D4457" s="5" t="s">
        <v>12</v>
      </c>
      <c r="E4457" s="5" t="s">
        <v>3628</v>
      </c>
    </row>
    <row r="4458" spans="1:5" x14ac:dyDescent="0.25">
      <c r="A4458" s="5">
        <f>4450</f>
      </c>
      <c r="B4458" s="5" t="s">
        <v>3648</v>
      </c>
      <c r="C4458" s="5" t="s">
        <v>11</v>
      </c>
      <c r="D4458" s="5" t="s">
        <v>12</v>
      </c>
      <c r="E4458" s="5" t="s">
        <v>3628</v>
      </c>
    </row>
    <row r="4459" spans="1:5" x14ac:dyDescent="0.25">
      <c r="A4459" s="5">
        <f>4451</f>
      </c>
      <c r="B4459" s="5" t="s">
        <v>3649</v>
      </c>
      <c r="C4459" s="5" t="s">
        <v>11</v>
      </c>
      <c r="D4459" s="5" t="s">
        <v>12</v>
      </c>
      <c r="E4459" s="5" t="s">
        <v>2639</v>
      </c>
    </row>
    <row r="4460" spans="1:5" x14ac:dyDescent="0.25">
      <c r="A4460" s="5">
        <f>4452</f>
      </c>
      <c r="B4460" s="5" t="s">
        <v>3650</v>
      </c>
      <c r="C4460" s="5" t="s">
        <v>11</v>
      </c>
      <c r="D4460" s="5" t="s">
        <v>12</v>
      </c>
      <c r="E4460" s="5" t="s">
        <v>2639</v>
      </c>
    </row>
    <row r="4461" spans="1:5" x14ac:dyDescent="0.25">
      <c r="A4461" s="5">
        <f>4453</f>
      </c>
      <c r="B4461" s="5" t="s">
        <v>3651</v>
      </c>
      <c r="C4461" s="5" t="s">
        <v>11</v>
      </c>
      <c r="D4461" s="5" t="s">
        <v>12</v>
      </c>
      <c r="E4461" s="5" t="s">
        <v>2639</v>
      </c>
    </row>
    <row r="4462" spans="1:5" x14ac:dyDescent="0.25">
      <c r="A4462" s="5">
        <f>4454</f>
      </c>
      <c r="B4462" s="5" t="s">
        <v>3652</v>
      </c>
      <c r="C4462" s="5" t="s">
        <v>11</v>
      </c>
      <c r="D4462" s="5" t="s">
        <v>12</v>
      </c>
      <c r="E4462" s="5" t="s">
        <v>2639</v>
      </c>
    </row>
    <row r="4463" spans="1:5" x14ac:dyDescent="0.25">
      <c r="A4463" s="5">
        <f>4455</f>
      </c>
      <c r="B4463" s="5" t="s">
        <v>3653</v>
      </c>
      <c r="C4463" s="5" t="s">
        <v>11</v>
      </c>
      <c r="D4463" s="5" t="s">
        <v>12</v>
      </c>
      <c r="E4463" s="5" t="s">
        <v>2639</v>
      </c>
    </row>
    <row r="4464" spans="1:5" x14ac:dyDescent="0.25">
      <c r="A4464" s="5">
        <f>4456</f>
      </c>
      <c r="B4464" s="5" t="s">
        <v>3654</v>
      </c>
      <c r="C4464" s="5" t="s">
        <v>11</v>
      </c>
      <c r="D4464" s="5" t="s">
        <v>12</v>
      </c>
      <c r="E4464" s="5" t="s">
        <v>2639</v>
      </c>
    </row>
    <row r="4465" spans="1:5" x14ac:dyDescent="0.25">
      <c r="A4465" s="5">
        <f>4457</f>
      </c>
      <c r="B4465" s="5" t="s">
        <v>3655</v>
      </c>
      <c r="C4465" s="5" t="s">
        <v>11</v>
      </c>
      <c r="D4465" s="5" t="s">
        <v>12</v>
      </c>
      <c r="E4465" s="5" t="s">
        <v>2639</v>
      </c>
    </row>
    <row r="4466" spans="1:5" x14ac:dyDescent="0.25">
      <c r="A4466" s="5">
        <f>4458</f>
      </c>
      <c r="B4466" s="5" t="s">
        <v>3656</v>
      </c>
      <c r="C4466" s="5" t="s">
        <v>11</v>
      </c>
      <c r="D4466" s="5" t="s">
        <v>12</v>
      </c>
      <c r="E4466" s="5" t="s">
        <v>2639</v>
      </c>
    </row>
    <row r="4467" spans="1:5" x14ac:dyDescent="0.25">
      <c r="A4467" s="5">
        <f>4459</f>
      </c>
      <c r="B4467" s="5" t="s">
        <v>3657</v>
      </c>
      <c r="C4467" s="5" t="s">
        <v>11</v>
      </c>
      <c r="D4467" s="5" t="s">
        <v>12</v>
      </c>
      <c r="E4467" s="5" t="s">
        <v>2639</v>
      </c>
    </row>
    <row r="4468" spans="1:5" x14ac:dyDescent="0.25">
      <c r="A4468" s="5">
        <f>4460</f>
      </c>
      <c r="B4468" s="5" t="s">
        <v>3658</v>
      </c>
      <c r="C4468" s="5" t="s">
        <v>11</v>
      </c>
      <c r="D4468" s="5" t="s">
        <v>12</v>
      </c>
      <c r="E4468" s="5" t="s">
        <v>2639</v>
      </c>
    </row>
    <row r="4469" spans="1:5" x14ac:dyDescent="0.25">
      <c r="A4469" s="5">
        <f>4461</f>
      </c>
      <c r="B4469" s="5" t="s">
        <v>3659</v>
      </c>
      <c r="C4469" s="5" t="s">
        <v>11</v>
      </c>
      <c r="D4469" s="5" t="s">
        <v>12</v>
      </c>
      <c r="E4469" s="5" t="s">
        <v>2639</v>
      </c>
    </row>
    <row r="4470" spans="1:5" x14ac:dyDescent="0.25">
      <c r="A4470" s="5">
        <f>4462</f>
      </c>
      <c r="B4470" s="5" t="s">
        <v>3660</v>
      </c>
      <c r="C4470" s="5" t="s">
        <v>11</v>
      </c>
      <c r="D4470" s="5" t="s">
        <v>12</v>
      </c>
      <c r="E4470" s="5" t="s">
        <v>2639</v>
      </c>
    </row>
    <row r="4471" spans="1:5" x14ac:dyDescent="0.25">
      <c r="A4471" s="5">
        <f>4463</f>
      </c>
      <c r="B4471" s="5" t="s">
        <v>3661</v>
      </c>
      <c r="C4471" s="5" t="s">
        <v>11</v>
      </c>
      <c r="D4471" s="5" t="s">
        <v>12</v>
      </c>
      <c r="E4471" s="5" t="s">
        <v>2639</v>
      </c>
    </row>
    <row r="4472" spans="1:5" x14ac:dyDescent="0.25">
      <c r="A4472" s="5">
        <f>4464</f>
      </c>
      <c r="B4472" s="5" t="s">
        <v>3662</v>
      </c>
      <c r="C4472" s="5" t="s">
        <v>11</v>
      </c>
      <c r="D4472" s="5" t="s">
        <v>12</v>
      </c>
      <c r="E4472" s="5" t="s">
        <v>2639</v>
      </c>
    </row>
    <row r="4473" spans="1:5" x14ac:dyDescent="0.25">
      <c r="A4473" s="5">
        <f>4465</f>
      </c>
      <c r="B4473" s="5" t="s">
        <v>3663</v>
      </c>
      <c r="C4473" s="5" t="s">
        <v>11</v>
      </c>
      <c r="D4473" s="5" t="s">
        <v>12</v>
      </c>
      <c r="E4473" s="5" t="s">
        <v>3664</v>
      </c>
    </row>
    <row r="4474" spans="1:5" x14ac:dyDescent="0.25">
      <c r="A4474" s="5">
        <f>4466</f>
      </c>
      <c r="B4474" s="5" t="s">
        <v>3665</v>
      </c>
      <c r="C4474" s="5" t="s">
        <v>11</v>
      </c>
      <c r="D4474" s="5" t="s">
        <v>12</v>
      </c>
      <c r="E4474" s="5" t="s">
        <v>3382</v>
      </c>
    </row>
    <row r="4475" spans="1:5" x14ac:dyDescent="0.25">
      <c r="A4475" s="5">
        <f>4467</f>
      </c>
      <c r="B4475" s="5" t="s">
        <v>3666</v>
      </c>
      <c r="C4475" s="5" t="s">
        <v>11</v>
      </c>
      <c r="D4475" s="5" t="s">
        <v>12</v>
      </c>
      <c r="E4475" s="5" t="s">
        <v>2253</v>
      </c>
    </row>
    <row r="4476" spans="1:5" x14ac:dyDescent="0.25">
      <c r="A4476" s="5">
        <f>4468</f>
      </c>
      <c r="B4476" s="5" t="s">
        <v>3667</v>
      </c>
      <c r="C4476" s="5" t="s">
        <v>11</v>
      </c>
      <c r="D4476" s="5" t="s">
        <v>12</v>
      </c>
      <c r="E4476" s="5" t="s">
        <v>2944</v>
      </c>
    </row>
    <row r="4477" spans="1:5" x14ac:dyDescent="0.25">
      <c r="A4477" s="5">
        <f>4469</f>
      </c>
      <c r="B4477" s="5" t="s">
        <v>3668</v>
      </c>
      <c r="C4477" s="5" t="s">
        <v>11</v>
      </c>
      <c r="D4477" s="5" t="s">
        <v>12</v>
      </c>
      <c r="E4477" s="5" t="s">
        <v>3559</v>
      </c>
    </row>
    <row r="4478" spans="1:5" x14ac:dyDescent="0.25">
      <c r="A4478" s="5">
        <f>4470</f>
      </c>
      <c r="B4478" s="5" t="s">
        <v>3669</v>
      </c>
      <c r="C4478" s="5" t="s">
        <v>11</v>
      </c>
      <c r="D4478" s="5" t="s">
        <v>12</v>
      </c>
      <c r="E4478" s="5" t="s">
        <v>1067</v>
      </c>
    </row>
    <row r="4479" spans="1:5" x14ac:dyDescent="0.25">
      <c r="A4479" s="5">
        <f>4471</f>
      </c>
      <c r="B4479" s="5" t="s">
        <v>3670</v>
      </c>
      <c r="C4479" s="5" t="s">
        <v>11</v>
      </c>
      <c r="D4479" s="5" t="s">
        <v>12</v>
      </c>
      <c r="E4479" s="5" t="s">
        <v>885</v>
      </c>
    </row>
    <row r="4480" spans="1:5" x14ac:dyDescent="0.25">
      <c r="A4480" s="5">
        <f>4472</f>
      </c>
      <c r="B4480" s="5" t="s">
        <v>3671</v>
      </c>
      <c r="C4480" s="5" t="s">
        <v>11</v>
      </c>
      <c r="D4480" s="5" t="s">
        <v>12</v>
      </c>
      <c r="E4480" s="5" t="s">
        <v>2333</v>
      </c>
    </row>
    <row r="4481" spans="1:5" x14ac:dyDescent="0.25">
      <c r="A4481" s="5">
        <f>4473</f>
      </c>
      <c r="B4481" s="5" t="s">
        <v>3672</v>
      </c>
      <c r="C4481" s="5" t="s">
        <v>11</v>
      </c>
      <c r="D4481" s="5" t="s">
        <v>12</v>
      </c>
      <c r="E4481" s="5" t="s">
        <v>3488</v>
      </c>
    </row>
    <row r="4482" spans="1:5" x14ac:dyDescent="0.25">
      <c r="A4482" s="5">
        <f>4474</f>
      </c>
      <c r="B4482" s="5" t="s">
        <v>3673</v>
      </c>
      <c r="C4482" s="5" t="s">
        <v>11</v>
      </c>
      <c r="D4482" s="5" t="s">
        <v>12</v>
      </c>
      <c r="E4482" s="5" t="s">
        <v>3674</v>
      </c>
    </row>
    <row r="4483" spans="1:5" x14ac:dyDescent="0.25">
      <c r="A4483" s="5">
        <f>4475</f>
      </c>
      <c r="B4483" s="5" t="s">
        <v>3675</v>
      </c>
      <c r="C4483" s="5" t="s">
        <v>11</v>
      </c>
      <c r="D4483" s="5" t="s">
        <v>12</v>
      </c>
      <c r="E4483" s="5" t="s">
        <v>954</v>
      </c>
    </row>
    <row r="4484" spans="1:5" x14ac:dyDescent="0.25">
      <c r="A4484" s="5">
        <f>4476</f>
      </c>
      <c r="B4484" s="5" t="s">
        <v>3676</v>
      </c>
      <c r="C4484" s="5" t="s">
        <v>11</v>
      </c>
      <c r="D4484" s="5" t="s">
        <v>12</v>
      </c>
      <c r="E4484" s="5" t="s">
        <v>957</v>
      </c>
    </row>
    <row r="4485" spans="1:5" x14ac:dyDescent="0.25">
      <c r="A4485" s="5">
        <f>4477</f>
      </c>
      <c r="B4485" s="5" t="s">
        <v>3677</v>
      </c>
      <c r="C4485" s="5" t="s">
        <v>11</v>
      </c>
      <c r="D4485" s="5" t="s">
        <v>12</v>
      </c>
      <c r="E4485" s="5" t="s">
        <v>3678</v>
      </c>
    </row>
    <row r="4486" spans="1:5" x14ac:dyDescent="0.25">
      <c r="A4486" s="5">
        <f>4478</f>
      </c>
      <c r="B4486" s="5" t="s">
        <v>3679</v>
      </c>
      <c r="C4486" s="5" t="s">
        <v>11</v>
      </c>
      <c r="D4486" s="5" t="s">
        <v>12</v>
      </c>
      <c r="E4486" s="5" t="s">
        <v>3680</v>
      </c>
    </row>
    <row r="4487" spans="1:5" x14ac:dyDescent="0.25">
      <c r="A4487" s="5">
        <f>4479</f>
      </c>
      <c r="B4487" s="5" t="s">
        <v>3681</v>
      </c>
      <c r="C4487" s="5" t="s">
        <v>11</v>
      </c>
      <c r="D4487" s="5" t="s">
        <v>12</v>
      </c>
      <c r="E4487" s="5" t="s">
        <v>1067</v>
      </c>
    </row>
    <row r="4488" spans="1:5" x14ac:dyDescent="0.25">
      <c r="A4488" s="5">
        <f>4480</f>
      </c>
      <c r="B4488" s="5" t="s">
        <v>3682</v>
      </c>
      <c r="C4488" s="5" t="s">
        <v>11</v>
      </c>
      <c r="D4488" s="5" t="s">
        <v>12</v>
      </c>
      <c r="E4488" s="5" t="s">
        <v>1067</v>
      </c>
    </row>
    <row r="4489" spans="1:5" x14ac:dyDescent="0.25">
      <c r="A4489" s="5">
        <f>4481</f>
      </c>
      <c r="B4489" s="5" t="s">
        <v>3683</v>
      </c>
      <c r="C4489" s="5" t="s">
        <v>11</v>
      </c>
      <c r="D4489" s="5" t="s">
        <v>12</v>
      </c>
      <c r="E4489" s="5" t="s">
        <v>2325</v>
      </c>
    </row>
    <row r="4490" spans="1:5" x14ac:dyDescent="0.25">
      <c r="A4490" s="5">
        <f>4482</f>
      </c>
      <c r="B4490" s="5" t="s">
        <v>3684</v>
      </c>
      <c r="C4490" s="5" t="s">
        <v>11</v>
      </c>
      <c r="D4490" s="5" t="s">
        <v>12</v>
      </c>
      <c r="E4490" s="5" t="s">
        <v>2327</v>
      </c>
    </row>
    <row r="4491" spans="1:5" x14ac:dyDescent="0.25">
      <c r="A4491" s="5">
        <f>4483</f>
      </c>
      <c r="B4491" s="5" t="s">
        <v>3685</v>
      </c>
      <c r="C4491" s="5" t="s">
        <v>11</v>
      </c>
      <c r="D4491" s="5" t="s">
        <v>12</v>
      </c>
      <c r="E4491" s="5" t="s">
        <v>3686</v>
      </c>
    </row>
    <row r="4492" spans="1:5" x14ac:dyDescent="0.25">
      <c r="A4492" s="5">
        <f>4484</f>
      </c>
      <c r="B4492" s="5" t="s">
        <v>3687</v>
      </c>
      <c r="C4492" s="5" t="s">
        <v>11</v>
      </c>
      <c r="D4492" s="5" t="s">
        <v>12</v>
      </c>
      <c r="E4492" s="5" t="s">
        <v>3688</v>
      </c>
    </row>
    <row r="4493" spans="1:5" x14ac:dyDescent="0.25">
      <c r="A4493" s="5">
        <f>4485</f>
      </c>
      <c r="B4493" s="5" t="s">
        <v>3689</v>
      </c>
      <c r="C4493" s="5" t="s">
        <v>11</v>
      </c>
      <c r="D4493" s="5" t="s">
        <v>12</v>
      </c>
      <c r="E4493" s="5" t="s">
        <v>3690</v>
      </c>
    </row>
    <row r="4494" spans="1:5" x14ac:dyDescent="0.25">
      <c r="A4494" s="5">
        <f>4486</f>
      </c>
      <c r="B4494" s="5" t="s">
        <v>3691</v>
      </c>
      <c r="C4494" s="5" t="s">
        <v>11</v>
      </c>
      <c r="D4494" s="5" t="s">
        <v>12</v>
      </c>
      <c r="E4494" s="5" t="s">
        <v>3692</v>
      </c>
    </row>
    <row r="4495" spans="1:5" x14ac:dyDescent="0.25">
      <c r="A4495" s="5">
        <f>4487</f>
      </c>
      <c r="B4495" s="5" t="s">
        <v>3693</v>
      </c>
      <c r="C4495" s="5" t="s">
        <v>11</v>
      </c>
      <c r="D4495" s="5" t="s">
        <v>12</v>
      </c>
      <c r="E4495" s="5" t="s">
        <v>2296</v>
      </c>
    </row>
    <row r="4496" spans="1:5" x14ac:dyDescent="0.25">
      <c r="A4496" s="5">
        <f>4488</f>
      </c>
      <c r="B4496" s="5" t="s">
        <v>3694</v>
      </c>
      <c r="C4496" s="5" t="s">
        <v>11</v>
      </c>
      <c r="D4496" s="5" t="s">
        <v>12</v>
      </c>
      <c r="E4496" s="5" t="s">
        <v>728</v>
      </c>
    </row>
    <row r="4497" spans="1:5" x14ac:dyDescent="0.25">
      <c r="A4497" s="5">
        <f>4489</f>
      </c>
      <c r="B4497" s="5" t="s">
        <v>3695</v>
      </c>
      <c r="C4497" s="5" t="s">
        <v>11</v>
      </c>
      <c r="D4497" s="5" t="s">
        <v>12</v>
      </c>
      <c r="E4497" s="5" t="s">
        <v>3555</v>
      </c>
    </row>
    <row r="4498" spans="1:5" x14ac:dyDescent="0.25">
      <c r="A4498" s="5">
        <f>4490</f>
      </c>
      <c r="B4498" s="5" t="s">
        <v>3696</v>
      </c>
      <c r="C4498" s="5" t="s">
        <v>11</v>
      </c>
      <c r="D4498" s="5" t="s">
        <v>12</v>
      </c>
      <c r="E4498" s="5" t="s">
        <v>3697</v>
      </c>
    </row>
    <row r="4499" spans="1:5" x14ac:dyDescent="0.25">
      <c r="A4499" s="5">
        <f>4491</f>
      </c>
      <c r="B4499" s="5" t="s">
        <v>3698</v>
      </c>
      <c r="C4499" s="5" t="s">
        <v>11</v>
      </c>
      <c r="D4499" s="5" t="s">
        <v>12</v>
      </c>
      <c r="E4499" s="5" t="s">
        <v>3697</v>
      </c>
    </row>
    <row r="4500" spans="1:5" x14ac:dyDescent="0.25">
      <c r="A4500" s="5">
        <f>4492</f>
      </c>
      <c r="B4500" s="5" t="s">
        <v>3699</v>
      </c>
      <c r="C4500" s="5" t="s">
        <v>11</v>
      </c>
      <c r="D4500" s="5" t="s">
        <v>12</v>
      </c>
      <c r="E4500" s="5" t="s">
        <v>3697</v>
      </c>
    </row>
    <row r="4501" spans="1:5" x14ac:dyDescent="0.25">
      <c r="A4501" s="5">
        <f>4493</f>
      </c>
      <c r="B4501" s="5" t="s">
        <v>3700</v>
      </c>
      <c r="C4501" s="5" t="s">
        <v>11</v>
      </c>
      <c r="D4501" s="5" t="s">
        <v>12</v>
      </c>
      <c r="E4501" s="5" t="s">
        <v>3697</v>
      </c>
    </row>
    <row r="4502" spans="1:5" x14ac:dyDescent="0.25">
      <c r="A4502" s="5">
        <f>4494</f>
      </c>
      <c r="B4502" s="5" t="s">
        <v>3701</v>
      </c>
      <c r="C4502" s="5" t="s">
        <v>11</v>
      </c>
      <c r="D4502" s="5" t="s">
        <v>12</v>
      </c>
      <c r="E4502" s="5" t="s">
        <v>1045</v>
      </c>
    </row>
    <row r="4503" spans="1:5" x14ac:dyDescent="0.25">
      <c r="A4503" s="5">
        <f>4495</f>
      </c>
      <c r="B4503" s="5" t="s">
        <v>3702</v>
      </c>
      <c r="C4503" s="5" t="s">
        <v>11</v>
      </c>
      <c r="D4503" s="5" t="s">
        <v>12</v>
      </c>
      <c r="E4503" s="5" t="s">
        <v>3425</v>
      </c>
    </row>
    <row r="4504" spans="1:5" x14ac:dyDescent="0.25">
      <c r="A4504" s="5">
        <f>4496</f>
      </c>
      <c r="B4504" s="5" t="s">
        <v>3703</v>
      </c>
      <c r="C4504" s="5" t="s">
        <v>11</v>
      </c>
      <c r="D4504" s="5" t="s">
        <v>12</v>
      </c>
      <c r="E4504" s="5" t="s">
        <v>3610</v>
      </c>
    </row>
    <row r="4505" spans="1:5" x14ac:dyDescent="0.25">
      <c r="A4505" s="5">
        <f>4497</f>
      </c>
      <c r="B4505" s="5" t="s">
        <v>3704</v>
      </c>
      <c r="C4505" s="5" t="s">
        <v>11</v>
      </c>
      <c r="D4505" s="5" t="s">
        <v>12</v>
      </c>
      <c r="E4505" s="5" t="s">
        <v>3626</v>
      </c>
    </row>
    <row r="4506" spans="1:5" x14ac:dyDescent="0.25">
      <c r="A4506" s="5">
        <f>4498</f>
      </c>
      <c r="B4506" s="5" t="s">
        <v>3705</v>
      </c>
      <c r="C4506" s="5" t="s">
        <v>11</v>
      </c>
      <c r="D4506" s="5" t="s">
        <v>12</v>
      </c>
      <c r="E4506" s="5" t="s">
        <v>3610</v>
      </c>
    </row>
    <row r="4507" spans="1:5" x14ac:dyDescent="0.25">
      <c r="A4507" s="5">
        <f>4499</f>
      </c>
      <c r="B4507" s="5" t="s">
        <v>3706</v>
      </c>
      <c r="C4507" s="5" t="s">
        <v>11</v>
      </c>
      <c r="D4507" s="5" t="s">
        <v>12</v>
      </c>
      <c r="E4507" s="5" t="s">
        <v>975</v>
      </c>
    </row>
    <row r="4508" spans="1:5" x14ac:dyDescent="0.25">
      <c r="A4508" s="5">
        <f>4500</f>
      </c>
      <c r="B4508" s="5" t="s">
        <v>3707</v>
      </c>
      <c r="C4508" s="5" t="s">
        <v>11</v>
      </c>
      <c r="D4508" s="5" t="s">
        <v>12</v>
      </c>
      <c r="E4508" s="5" t="s">
        <v>720</v>
      </c>
    </row>
    <row r="4509" spans="1:5" x14ac:dyDescent="0.25">
      <c r="A4509" s="5">
        <f>4501</f>
      </c>
      <c r="B4509" s="5" t="s">
        <v>3708</v>
      </c>
      <c r="C4509" s="5" t="s">
        <v>11</v>
      </c>
      <c r="D4509" s="5" t="s">
        <v>12</v>
      </c>
      <c r="E4509" s="5" t="s">
        <v>3709</v>
      </c>
    </row>
    <row r="4510" spans="1:5" x14ac:dyDescent="0.25">
      <c r="A4510" s="5">
        <f>4502</f>
      </c>
      <c r="B4510" s="5" t="s">
        <v>3710</v>
      </c>
      <c r="C4510" s="5" t="s">
        <v>11</v>
      </c>
      <c r="D4510" s="5" t="s">
        <v>12</v>
      </c>
      <c r="E4510" s="5" t="s">
        <v>3601</v>
      </c>
    </row>
    <row r="4511" spans="1:5" x14ac:dyDescent="0.25">
      <c r="A4511" s="5">
        <f>4503</f>
      </c>
      <c r="B4511" s="5" t="s">
        <v>3711</v>
      </c>
      <c r="C4511" s="5" t="s">
        <v>11</v>
      </c>
      <c r="D4511" s="5" t="s">
        <v>12</v>
      </c>
      <c r="E4511" s="5" t="s">
        <v>2671</v>
      </c>
    </row>
    <row r="4512" spans="1:5" x14ac:dyDescent="0.25">
      <c r="A4512" s="5">
        <f>4504</f>
      </c>
      <c r="B4512" s="5" t="s">
        <v>3712</v>
      </c>
      <c r="C4512" s="5" t="s">
        <v>11</v>
      </c>
      <c r="D4512" s="5" t="s">
        <v>12</v>
      </c>
      <c r="E4512" s="5" t="s">
        <v>3713</v>
      </c>
    </row>
    <row r="4513" spans="1:5" x14ac:dyDescent="0.25">
      <c r="A4513" s="5">
        <f>4505</f>
      </c>
      <c r="B4513" s="5" t="s">
        <v>3714</v>
      </c>
      <c r="C4513" s="5" t="s">
        <v>11</v>
      </c>
      <c r="D4513" s="5" t="s">
        <v>12</v>
      </c>
      <c r="E4513" s="5" t="s">
        <v>1002</v>
      </c>
    </row>
    <row r="4514" spans="1:5" x14ac:dyDescent="0.25">
      <c r="A4514" s="5">
        <f>4506</f>
      </c>
      <c r="B4514" s="5" t="s">
        <v>3715</v>
      </c>
      <c r="C4514" s="5" t="s">
        <v>11</v>
      </c>
      <c r="D4514" s="5" t="s">
        <v>12</v>
      </c>
      <c r="E4514" s="5" t="s">
        <v>3716</v>
      </c>
    </row>
    <row r="4515" spans="1:5" x14ac:dyDescent="0.25">
      <c r="A4515" s="5">
        <f>4507</f>
      </c>
      <c r="B4515" s="5" t="s">
        <v>3717</v>
      </c>
      <c r="C4515" s="5" t="s">
        <v>11</v>
      </c>
      <c r="D4515" s="5" t="s">
        <v>12</v>
      </c>
      <c r="E4515" s="5" t="s">
        <v>781</v>
      </c>
    </row>
    <row r="4516" spans="1:5" x14ac:dyDescent="0.25">
      <c r="A4516" s="5">
        <f>4508</f>
      </c>
      <c r="B4516" s="5" t="s">
        <v>3718</v>
      </c>
      <c r="C4516" s="5" t="s">
        <v>11</v>
      </c>
      <c r="D4516" s="5" t="s">
        <v>12</v>
      </c>
      <c r="E4516" s="5" t="s">
        <v>736</v>
      </c>
    </row>
    <row r="4517" spans="1:5" x14ac:dyDescent="0.25">
      <c r="A4517" s="5">
        <f>4509</f>
      </c>
      <c r="B4517" s="5" t="s">
        <v>3719</v>
      </c>
      <c r="C4517" s="5" t="s">
        <v>11</v>
      </c>
      <c r="D4517" s="5" t="s">
        <v>12</v>
      </c>
      <c r="E4517" s="5" t="s">
        <v>2622</v>
      </c>
    </row>
    <row r="4518" spans="1:5" x14ac:dyDescent="0.25">
      <c r="A4518" s="5">
        <f>4510</f>
      </c>
      <c r="B4518" s="5" t="s">
        <v>3720</v>
      </c>
      <c r="C4518" s="5" t="s">
        <v>11</v>
      </c>
      <c r="D4518" s="5" t="s">
        <v>12</v>
      </c>
      <c r="E4518" s="5" t="s">
        <v>2331</v>
      </c>
    </row>
    <row r="4519" spans="1:5" x14ac:dyDescent="0.25">
      <c r="A4519" s="5">
        <f>4511</f>
      </c>
      <c r="B4519" s="5" t="s">
        <v>3721</v>
      </c>
      <c r="C4519" s="5" t="s">
        <v>11</v>
      </c>
      <c r="D4519" s="5" t="s">
        <v>12</v>
      </c>
      <c r="E4519" s="5" t="s">
        <v>1030</v>
      </c>
    </row>
    <row r="4520" spans="1:5" x14ac:dyDescent="0.25">
      <c r="A4520" s="5">
        <f>4512</f>
      </c>
      <c r="B4520" s="5" t="s">
        <v>3722</v>
      </c>
      <c r="C4520" s="5" t="s">
        <v>11</v>
      </c>
      <c r="D4520" s="5" t="s">
        <v>12</v>
      </c>
      <c r="E4520" s="5" t="s">
        <v>3723</v>
      </c>
    </row>
    <row r="4521" spans="1:5" x14ac:dyDescent="0.25">
      <c r="A4521" s="5">
        <f>4513</f>
      </c>
      <c r="B4521" s="5" t="s">
        <v>3724</v>
      </c>
      <c r="C4521" s="5" t="s">
        <v>11</v>
      </c>
      <c r="D4521" s="5" t="s">
        <v>12</v>
      </c>
      <c r="E4521" s="5" t="s">
        <v>941</v>
      </c>
    </row>
    <row r="4522" spans="1:5" x14ac:dyDescent="0.25">
      <c r="A4522" s="5">
        <f>4514</f>
      </c>
      <c r="B4522" s="5" t="s">
        <v>3725</v>
      </c>
      <c r="C4522" s="5" t="s">
        <v>11</v>
      </c>
      <c r="D4522" s="5" t="s">
        <v>12</v>
      </c>
      <c r="E4522" s="5" t="s">
        <v>1051</v>
      </c>
    </row>
    <row r="4523" spans="1:5" x14ac:dyDescent="0.25">
      <c r="A4523" s="5">
        <f>4515</f>
      </c>
      <c r="B4523" s="5" t="s">
        <v>3726</v>
      </c>
      <c r="C4523" s="5" t="s">
        <v>11</v>
      </c>
      <c r="D4523" s="5" t="s">
        <v>12</v>
      </c>
      <c r="E4523" s="5" t="s">
        <v>919</v>
      </c>
    </row>
    <row r="4524" spans="1:5" x14ac:dyDescent="0.25">
      <c r="A4524" s="5">
        <f>4516</f>
      </c>
      <c r="B4524" s="5" t="s">
        <v>3727</v>
      </c>
      <c r="C4524" s="5" t="s">
        <v>11</v>
      </c>
      <c r="D4524" s="5" t="s">
        <v>12</v>
      </c>
      <c r="E4524" s="5" t="s">
        <v>2389</v>
      </c>
    </row>
    <row r="4525" spans="1:5" x14ac:dyDescent="0.25">
      <c r="A4525" s="5">
        <f>4517</f>
      </c>
      <c r="B4525" s="5" t="s">
        <v>3728</v>
      </c>
      <c r="C4525" s="5" t="s">
        <v>11</v>
      </c>
      <c r="D4525" s="5" t="s">
        <v>12</v>
      </c>
      <c r="E4525" s="5" t="s">
        <v>2255</v>
      </c>
    </row>
    <row r="4526" spans="1:5" x14ac:dyDescent="0.25">
      <c r="A4526" s="5">
        <f>4518</f>
      </c>
      <c r="B4526" s="5" t="s">
        <v>3729</v>
      </c>
      <c r="C4526" s="5" t="s">
        <v>11</v>
      </c>
      <c r="D4526" s="5" t="s">
        <v>12</v>
      </c>
      <c r="E4526" s="5" t="s">
        <v>2255</v>
      </c>
    </row>
    <row r="4527" spans="1:5" x14ac:dyDescent="0.25">
      <c r="A4527" s="5">
        <f>4519</f>
      </c>
      <c r="B4527" s="5" t="s">
        <v>3730</v>
      </c>
      <c r="C4527" s="5" t="s">
        <v>11</v>
      </c>
      <c r="D4527" s="5" t="s">
        <v>12</v>
      </c>
      <c r="E4527" s="5" t="s">
        <v>2255</v>
      </c>
    </row>
    <row r="4528" spans="1:5" x14ac:dyDescent="0.25">
      <c r="A4528" s="5">
        <f>4520</f>
      </c>
      <c r="B4528" s="5" t="s">
        <v>3731</v>
      </c>
      <c r="C4528" s="5" t="s">
        <v>11</v>
      </c>
      <c r="D4528" s="5" t="s">
        <v>12</v>
      </c>
      <c r="E4528" s="5" t="s">
        <v>2255</v>
      </c>
    </row>
    <row r="4529" spans="1:5" x14ac:dyDescent="0.25">
      <c r="A4529" s="5">
        <f>4521</f>
      </c>
      <c r="B4529" s="5" t="s">
        <v>3732</v>
      </c>
      <c r="C4529" s="5" t="s">
        <v>11</v>
      </c>
      <c r="D4529" s="5" t="s">
        <v>12</v>
      </c>
      <c r="E4529" s="5" t="s">
        <v>2255</v>
      </c>
    </row>
    <row r="4530" spans="1:5" x14ac:dyDescent="0.25">
      <c r="A4530" s="5">
        <f>4522</f>
      </c>
      <c r="B4530" s="5" t="s">
        <v>3733</v>
      </c>
      <c r="C4530" s="5" t="s">
        <v>11</v>
      </c>
      <c r="D4530" s="5" t="s">
        <v>12</v>
      </c>
      <c r="E4530" s="5" t="s">
        <v>2255</v>
      </c>
    </row>
    <row r="4531" spans="1:5" x14ac:dyDescent="0.25">
      <c r="A4531" s="5">
        <f>4523</f>
      </c>
      <c r="B4531" s="5" t="s">
        <v>3734</v>
      </c>
      <c r="C4531" s="5" t="s">
        <v>11</v>
      </c>
      <c r="D4531" s="5" t="s">
        <v>12</v>
      </c>
      <c r="E4531" s="5" t="s">
        <v>2255</v>
      </c>
    </row>
    <row r="4532" spans="1:5" x14ac:dyDescent="0.25">
      <c r="A4532" s="5">
        <f>4524</f>
      </c>
      <c r="B4532" s="5" t="s">
        <v>3735</v>
      </c>
      <c r="C4532" s="5" t="s">
        <v>11</v>
      </c>
      <c r="D4532" s="5" t="s">
        <v>12</v>
      </c>
      <c r="E4532" s="5" t="s">
        <v>2255</v>
      </c>
    </row>
    <row r="4533" spans="1:5" x14ac:dyDescent="0.25">
      <c r="A4533" s="5">
        <f>4525</f>
      </c>
      <c r="B4533" s="5" t="s">
        <v>3736</v>
      </c>
      <c r="C4533" s="5" t="s">
        <v>11</v>
      </c>
      <c r="D4533" s="5" t="s">
        <v>12</v>
      </c>
      <c r="E4533" s="5" t="s">
        <v>2255</v>
      </c>
    </row>
    <row r="4534" spans="1:5" x14ac:dyDescent="0.25">
      <c r="A4534" s="5">
        <f>4526</f>
      </c>
      <c r="B4534" s="5" t="s">
        <v>3737</v>
      </c>
      <c r="C4534" s="5" t="s">
        <v>11</v>
      </c>
      <c r="D4534" s="5" t="s">
        <v>12</v>
      </c>
      <c r="E4534" s="5" t="s">
        <v>2255</v>
      </c>
    </row>
    <row r="4535" spans="1:5" x14ac:dyDescent="0.25">
      <c r="A4535" s="5">
        <f>4527</f>
      </c>
      <c r="B4535" s="5" t="s">
        <v>3738</v>
      </c>
      <c r="C4535" s="5" t="s">
        <v>11</v>
      </c>
      <c r="D4535" s="5" t="s">
        <v>12</v>
      </c>
      <c r="E4535" s="5" t="s">
        <v>2255</v>
      </c>
    </row>
    <row r="4536" spans="1:5" x14ac:dyDescent="0.25">
      <c r="A4536" s="5">
        <f>4528</f>
      </c>
      <c r="B4536" s="5" t="s">
        <v>3739</v>
      </c>
      <c r="C4536" s="5" t="s">
        <v>11</v>
      </c>
      <c r="D4536" s="5" t="s">
        <v>12</v>
      </c>
      <c r="E4536" s="5" t="s">
        <v>2255</v>
      </c>
    </row>
    <row r="4537" spans="1:5" x14ac:dyDescent="0.25">
      <c r="A4537" s="5">
        <f>4529</f>
      </c>
      <c r="B4537" s="5" t="s">
        <v>3740</v>
      </c>
      <c r="C4537" s="5" t="s">
        <v>11</v>
      </c>
      <c r="D4537" s="5" t="s">
        <v>12</v>
      </c>
      <c r="E4537" s="5" t="s">
        <v>2255</v>
      </c>
    </row>
    <row r="4538" spans="1:5" x14ac:dyDescent="0.25">
      <c r="A4538" s="5">
        <f>4530</f>
      </c>
      <c r="B4538" s="5" t="s">
        <v>3741</v>
      </c>
      <c r="C4538" s="5" t="s">
        <v>11</v>
      </c>
      <c r="D4538" s="5" t="s">
        <v>12</v>
      </c>
      <c r="E4538" s="5" t="s">
        <v>2255</v>
      </c>
    </row>
    <row r="4539" spans="1:5" x14ac:dyDescent="0.25">
      <c r="A4539" s="5">
        <f>4531</f>
      </c>
      <c r="B4539" s="5" t="s">
        <v>3742</v>
      </c>
      <c r="C4539" s="5" t="s">
        <v>11</v>
      </c>
      <c r="D4539" s="5" t="s">
        <v>12</v>
      </c>
      <c r="E4539" s="5" t="s">
        <v>2255</v>
      </c>
    </row>
    <row r="4540" spans="1:5" x14ac:dyDescent="0.25">
      <c r="A4540" s="5">
        <f>4532</f>
      </c>
      <c r="B4540" s="5" t="s">
        <v>3743</v>
      </c>
      <c r="C4540" s="5" t="s">
        <v>11</v>
      </c>
      <c r="D4540" s="5" t="s">
        <v>12</v>
      </c>
      <c r="E4540" s="5" t="s">
        <v>2255</v>
      </c>
    </row>
    <row r="4541" spans="1:5" x14ac:dyDescent="0.25">
      <c r="A4541" s="5">
        <f>4533</f>
      </c>
      <c r="B4541" s="5" t="s">
        <v>3744</v>
      </c>
      <c r="C4541" s="5" t="s">
        <v>11</v>
      </c>
      <c r="D4541" s="5" t="s">
        <v>12</v>
      </c>
      <c r="E4541" s="5" t="s">
        <v>2255</v>
      </c>
    </row>
    <row r="4542" spans="1:5" x14ac:dyDescent="0.25">
      <c r="A4542" s="5">
        <f>4534</f>
      </c>
      <c r="B4542" s="5" t="s">
        <v>3745</v>
      </c>
      <c r="C4542" s="5" t="s">
        <v>11</v>
      </c>
      <c r="D4542" s="5" t="s">
        <v>12</v>
      </c>
      <c r="E4542" s="5" t="s">
        <v>2255</v>
      </c>
    </row>
    <row r="4543" spans="1:5" x14ac:dyDescent="0.25">
      <c r="A4543" s="5">
        <f>4535</f>
      </c>
      <c r="B4543" s="5" t="s">
        <v>3746</v>
      </c>
      <c r="C4543" s="5" t="s">
        <v>11</v>
      </c>
      <c r="D4543" s="5" t="s">
        <v>12</v>
      </c>
      <c r="E4543" s="5" t="s">
        <v>2255</v>
      </c>
    </row>
    <row r="4544" spans="1:5" x14ac:dyDescent="0.25">
      <c r="A4544" s="5">
        <f>4536</f>
      </c>
      <c r="B4544" s="5" t="s">
        <v>3747</v>
      </c>
      <c r="C4544" s="5" t="s">
        <v>11</v>
      </c>
      <c r="D4544" s="5" t="s">
        <v>12</v>
      </c>
      <c r="E4544" s="5" t="s">
        <v>2255</v>
      </c>
    </row>
    <row r="4545" spans="1:5" x14ac:dyDescent="0.25">
      <c r="A4545" s="5">
        <f>4537</f>
      </c>
      <c r="B4545" s="5" t="s">
        <v>3748</v>
      </c>
      <c r="C4545" s="5" t="s">
        <v>11</v>
      </c>
      <c r="D4545" s="5" t="s">
        <v>12</v>
      </c>
      <c r="E4545" s="5" t="s">
        <v>2255</v>
      </c>
    </row>
    <row r="4546" spans="1:5" x14ac:dyDescent="0.25">
      <c r="A4546" s="5">
        <f>4538</f>
      </c>
      <c r="B4546" s="5" t="s">
        <v>3749</v>
      </c>
      <c r="C4546" s="5" t="s">
        <v>11</v>
      </c>
      <c r="D4546" s="5" t="s">
        <v>12</v>
      </c>
      <c r="E4546" s="5" t="s">
        <v>2255</v>
      </c>
    </row>
    <row r="4547" spans="1:5" x14ac:dyDescent="0.25">
      <c r="A4547" s="5">
        <f>4539</f>
      </c>
      <c r="B4547" s="5" t="s">
        <v>3750</v>
      </c>
      <c r="C4547" s="5" t="s">
        <v>11</v>
      </c>
      <c r="D4547" s="5" t="s">
        <v>12</v>
      </c>
      <c r="E4547" s="5" t="s">
        <v>2255</v>
      </c>
    </row>
    <row r="4548" spans="1:5" x14ac:dyDescent="0.25">
      <c r="A4548" s="5">
        <f>4540</f>
      </c>
      <c r="B4548" s="5" t="s">
        <v>3751</v>
      </c>
      <c r="C4548" s="5" t="s">
        <v>11</v>
      </c>
      <c r="D4548" s="5" t="s">
        <v>12</v>
      </c>
      <c r="E4548" s="5" t="s">
        <v>2255</v>
      </c>
    </row>
    <row r="4549" spans="1:5" x14ac:dyDescent="0.25">
      <c r="A4549" s="5">
        <f>4541</f>
      </c>
      <c r="B4549" s="5" t="s">
        <v>3752</v>
      </c>
      <c r="C4549" s="5" t="s">
        <v>11</v>
      </c>
      <c r="D4549" s="5" t="s">
        <v>12</v>
      </c>
      <c r="E4549" s="5" t="s">
        <v>2259</v>
      </c>
    </row>
    <row r="4550" spans="1:5" x14ac:dyDescent="0.25">
      <c r="A4550" s="5">
        <f>4542</f>
      </c>
      <c r="B4550" s="5" t="s">
        <v>3753</v>
      </c>
      <c r="C4550" s="5" t="s">
        <v>11</v>
      </c>
      <c r="D4550" s="5" t="s">
        <v>12</v>
      </c>
      <c r="E4550" s="5" t="s">
        <v>3754</v>
      </c>
    </row>
    <row r="4551" spans="1:5" x14ac:dyDescent="0.25">
      <c r="A4551" s="5">
        <f>4543</f>
      </c>
      <c r="B4551" s="5" t="s">
        <v>3755</v>
      </c>
      <c r="C4551" s="5" t="s">
        <v>11</v>
      </c>
      <c r="D4551" s="5" t="s">
        <v>12</v>
      </c>
      <c r="E4551" s="5" t="s">
        <v>3536</v>
      </c>
    </row>
    <row r="4552" spans="1:5" x14ac:dyDescent="0.25">
      <c r="A4552" s="5">
        <f>4544</f>
      </c>
      <c r="B4552" s="5" t="s">
        <v>3756</v>
      </c>
      <c r="C4552" s="5" t="s">
        <v>11</v>
      </c>
      <c r="D4552" s="5" t="s">
        <v>12</v>
      </c>
      <c r="E4552" s="5" t="s">
        <v>3536</v>
      </c>
    </row>
    <row r="4553" spans="1:5" x14ac:dyDescent="0.25">
      <c r="A4553" s="5">
        <f>4545</f>
      </c>
      <c r="B4553" s="5" t="s">
        <v>3757</v>
      </c>
      <c r="C4553" s="5" t="s">
        <v>11</v>
      </c>
      <c r="D4553" s="5" t="s">
        <v>12</v>
      </c>
      <c r="E4553" s="5" t="s">
        <v>996</v>
      </c>
    </row>
    <row r="4554" spans="1:5" x14ac:dyDescent="0.25">
      <c r="A4554" s="5">
        <f>4546</f>
      </c>
      <c r="B4554" s="5" t="s">
        <v>3758</v>
      </c>
      <c r="C4554" s="5" t="s">
        <v>11</v>
      </c>
      <c r="D4554" s="5" t="s">
        <v>12</v>
      </c>
      <c r="E4554" s="5" t="s">
        <v>3759</v>
      </c>
    </row>
    <row r="4555" spans="1:5" x14ac:dyDescent="0.25">
      <c r="A4555" s="5">
        <f>4547</f>
      </c>
      <c r="B4555" s="5" t="s">
        <v>3760</v>
      </c>
      <c r="C4555" s="5" t="s">
        <v>11</v>
      </c>
      <c r="D4555" s="5" t="s">
        <v>12</v>
      </c>
      <c r="E4555" s="5" t="s">
        <v>3761</v>
      </c>
    </row>
    <row r="4556" spans="1:5" x14ac:dyDescent="0.25">
      <c r="A4556" s="5">
        <f>4548</f>
      </c>
      <c r="B4556" s="5" t="s">
        <v>3762</v>
      </c>
      <c r="C4556" s="5" t="s">
        <v>11</v>
      </c>
      <c r="D4556" s="5" t="s">
        <v>12</v>
      </c>
      <c r="E4556" s="5" t="s">
        <v>2632</v>
      </c>
    </row>
    <row r="4557" spans="1:5" x14ac:dyDescent="0.25">
      <c r="A4557" s="5">
        <f>4549</f>
      </c>
      <c r="B4557" s="5" t="s">
        <v>3763</v>
      </c>
      <c r="C4557" s="5" t="s">
        <v>11</v>
      </c>
      <c r="D4557" s="5" t="s">
        <v>12</v>
      </c>
      <c r="E4557" s="5" t="s">
        <v>3518</v>
      </c>
    </row>
    <row r="4558" spans="1:5" x14ac:dyDescent="0.25">
      <c r="A4558" s="5">
        <f>4550</f>
      </c>
      <c r="B4558" s="5" t="s">
        <v>3764</v>
      </c>
      <c r="C4558" s="5" t="s">
        <v>11</v>
      </c>
      <c r="D4558" s="5" t="s">
        <v>12</v>
      </c>
      <c r="E4558" s="5" t="s">
        <v>3765</v>
      </c>
    </row>
    <row r="4559" spans="1:5" x14ac:dyDescent="0.25">
      <c r="A4559" s="5">
        <f>4551</f>
      </c>
      <c r="B4559" s="5" t="s">
        <v>3766</v>
      </c>
      <c r="C4559" s="5" t="s">
        <v>11</v>
      </c>
      <c r="D4559" s="5" t="s">
        <v>12</v>
      </c>
      <c r="E4559" s="5" t="s">
        <v>3767</v>
      </c>
    </row>
    <row r="4560" spans="1:5" x14ac:dyDescent="0.25">
      <c r="A4560" s="5">
        <f>4552</f>
      </c>
      <c r="B4560" s="5" t="s">
        <v>3768</v>
      </c>
      <c r="C4560" s="5" t="s">
        <v>11</v>
      </c>
      <c r="D4560" s="5" t="s">
        <v>12</v>
      </c>
      <c r="E4560" s="5" t="s">
        <v>3759</v>
      </c>
    </row>
    <row r="4561" spans="1:5" x14ac:dyDescent="0.25">
      <c r="A4561" s="5">
        <f>4553</f>
      </c>
      <c r="B4561" s="5" t="s">
        <v>3769</v>
      </c>
      <c r="C4561" s="5" t="s">
        <v>11</v>
      </c>
      <c r="D4561" s="5" t="s">
        <v>12</v>
      </c>
      <c r="E4561" s="5" t="s">
        <v>975</v>
      </c>
    </row>
    <row r="4562" spans="1:5" x14ac:dyDescent="0.25">
      <c r="A4562" s="5">
        <f>4554</f>
      </c>
      <c r="B4562" s="5" t="s">
        <v>3770</v>
      </c>
      <c r="C4562" s="5" t="s">
        <v>11</v>
      </c>
      <c r="D4562" s="5" t="s">
        <v>12</v>
      </c>
      <c r="E4562" s="5" t="s">
        <v>3771</v>
      </c>
    </row>
    <row r="4563" spans="1:5" x14ac:dyDescent="0.25">
      <c r="A4563" s="5">
        <f>4555</f>
      </c>
      <c r="B4563" s="5" t="s">
        <v>3772</v>
      </c>
      <c r="C4563" s="5" t="s">
        <v>11</v>
      </c>
      <c r="D4563" s="5" t="s">
        <v>12</v>
      </c>
      <c r="E4563" s="5" t="s">
        <v>3376</v>
      </c>
    </row>
    <row r="4564" spans="1:5" x14ac:dyDescent="0.25">
      <c r="A4564" s="5">
        <f>4556</f>
      </c>
      <c r="B4564" s="5" t="s">
        <v>3773</v>
      </c>
      <c r="C4564" s="5" t="s">
        <v>11</v>
      </c>
      <c r="D4564" s="5" t="s">
        <v>12</v>
      </c>
      <c r="E4564" s="5" t="s">
        <v>3774</v>
      </c>
    </row>
    <row r="4565" spans="1:5" x14ac:dyDescent="0.25">
      <c r="A4565" s="5">
        <f>4557</f>
      </c>
      <c r="B4565" s="5" t="s">
        <v>3775</v>
      </c>
      <c r="C4565" s="5" t="s">
        <v>11</v>
      </c>
      <c r="D4565" s="5" t="s">
        <v>12</v>
      </c>
      <c r="E4565" s="5" t="s">
        <v>3774</v>
      </c>
    </row>
    <row r="4566" spans="1:5" x14ac:dyDescent="0.25">
      <c r="A4566" s="5">
        <f>4558</f>
      </c>
      <c r="B4566" s="5" t="s">
        <v>3776</v>
      </c>
      <c r="C4566" s="5" t="s">
        <v>11</v>
      </c>
      <c r="D4566" s="5" t="s">
        <v>12</v>
      </c>
      <c r="E4566" s="5" t="s">
        <v>3774</v>
      </c>
    </row>
    <row r="4567" spans="1:5" x14ac:dyDescent="0.25">
      <c r="A4567" s="5">
        <f>4559</f>
      </c>
      <c r="B4567" s="5" t="s">
        <v>3777</v>
      </c>
      <c r="C4567" s="5" t="s">
        <v>11</v>
      </c>
      <c r="D4567" s="5" t="s">
        <v>12</v>
      </c>
      <c r="E4567" s="5" t="s">
        <v>3496</v>
      </c>
    </row>
    <row r="4568" spans="1:5" x14ac:dyDescent="0.25">
      <c r="A4568" s="5">
        <f>4560</f>
      </c>
      <c r="B4568" s="5" t="s">
        <v>3778</v>
      </c>
      <c r="C4568" s="5" t="s">
        <v>11</v>
      </c>
      <c r="D4568" s="5" t="s">
        <v>12</v>
      </c>
      <c r="E4568" s="5" t="s">
        <v>3496</v>
      </c>
    </row>
    <row r="4569" spans="1:5" x14ac:dyDescent="0.25">
      <c r="A4569" s="5">
        <f>4561</f>
      </c>
      <c r="B4569" s="5" t="s">
        <v>3779</v>
      </c>
      <c r="C4569" s="5" t="s">
        <v>11</v>
      </c>
      <c r="D4569" s="5" t="s">
        <v>12</v>
      </c>
      <c r="E4569" s="5" t="s">
        <v>3496</v>
      </c>
    </row>
    <row r="4570" spans="1:5" x14ac:dyDescent="0.25">
      <c r="A4570" s="5">
        <f>4562</f>
      </c>
      <c r="B4570" s="5" t="s">
        <v>3780</v>
      </c>
      <c r="C4570" s="5" t="s">
        <v>11</v>
      </c>
      <c r="D4570" s="5" t="s">
        <v>12</v>
      </c>
      <c r="E4570" s="5" t="s">
        <v>3496</v>
      </c>
    </row>
    <row r="4571" spans="1:5" x14ac:dyDescent="0.25">
      <c r="A4571" s="5">
        <f>4563</f>
      </c>
      <c r="B4571" s="5" t="s">
        <v>3781</v>
      </c>
      <c r="C4571" s="5" t="s">
        <v>11</v>
      </c>
      <c r="D4571" s="5" t="s">
        <v>12</v>
      </c>
      <c r="E4571" s="5" t="s">
        <v>3496</v>
      </c>
    </row>
    <row r="4572" spans="1:5" x14ac:dyDescent="0.25">
      <c r="A4572" s="5">
        <f>4564</f>
      </c>
      <c r="B4572" s="5" t="s">
        <v>3782</v>
      </c>
      <c r="C4572" s="5" t="s">
        <v>11</v>
      </c>
      <c r="D4572" s="5" t="s">
        <v>12</v>
      </c>
      <c r="E4572" s="5" t="s">
        <v>3496</v>
      </c>
    </row>
    <row r="4573" spans="1:5" x14ac:dyDescent="0.25">
      <c r="A4573" s="5">
        <f>4565</f>
      </c>
      <c r="B4573" s="5" t="s">
        <v>3783</v>
      </c>
      <c r="C4573" s="5" t="s">
        <v>11</v>
      </c>
      <c r="D4573" s="5" t="s">
        <v>12</v>
      </c>
      <c r="E4573" s="5" t="s">
        <v>3496</v>
      </c>
    </row>
    <row r="4574" spans="1:5" x14ac:dyDescent="0.25">
      <c r="A4574" s="5">
        <f>4566</f>
      </c>
      <c r="B4574" s="5" t="s">
        <v>3784</v>
      </c>
      <c r="C4574" s="5" t="s">
        <v>11</v>
      </c>
      <c r="D4574" s="5" t="s">
        <v>12</v>
      </c>
      <c r="E4574" s="5" t="s">
        <v>3496</v>
      </c>
    </row>
    <row r="4575" spans="1:5" x14ac:dyDescent="0.25">
      <c r="A4575" s="5">
        <f>4567</f>
      </c>
      <c r="B4575" s="5" t="s">
        <v>3785</v>
      </c>
      <c r="C4575" s="5" t="s">
        <v>11</v>
      </c>
      <c r="D4575" s="5" t="s">
        <v>12</v>
      </c>
      <c r="E4575" s="5" t="s">
        <v>3496</v>
      </c>
    </row>
    <row r="4576" spans="1:5" x14ac:dyDescent="0.25">
      <c r="A4576" s="5">
        <f>4568</f>
      </c>
      <c r="B4576" s="5" t="s">
        <v>3786</v>
      </c>
      <c r="C4576" s="5" t="s">
        <v>11</v>
      </c>
      <c r="D4576" s="5" t="s">
        <v>12</v>
      </c>
      <c r="E4576" s="5" t="s">
        <v>3496</v>
      </c>
    </row>
    <row r="4577" spans="1:5" x14ac:dyDescent="0.25">
      <c r="A4577" s="5">
        <f>4569</f>
      </c>
      <c r="B4577" s="5" t="s">
        <v>3787</v>
      </c>
      <c r="C4577" s="5" t="s">
        <v>11</v>
      </c>
      <c r="D4577" s="5" t="s">
        <v>12</v>
      </c>
      <c r="E4577" s="5" t="s">
        <v>3496</v>
      </c>
    </row>
    <row r="4578" spans="1:5" x14ac:dyDescent="0.25">
      <c r="A4578" s="5">
        <f>4570</f>
      </c>
      <c r="B4578" s="5" t="s">
        <v>3788</v>
      </c>
      <c r="C4578" s="5" t="s">
        <v>11</v>
      </c>
      <c r="D4578" s="5" t="s">
        <v>12</v>
      </c>
      <c r="E4578" s="5" t="s">
        <v>3496</v>
      </c>
    </row>
    <row r="4579" spans="1:5" x14ac:dyDescent="0.25">
      <c r="A4579" s="5">
        <f>4571</f>
      </c>
      <c r="B4579" s="5" t="s">
        <v>3789</v>
      </c>
      <c r="C4579" s="5" t="s">
        <v>11</v>
      </c>
      <c r="D4579" s="5" t="s">
        <v>12</v>
      </c>
      <c r="E4579" s="5" t="s">
        <v>3496</v>
      </c>
    </row>
    <row r="4580" spans="1:5" x14ac:dyDescent="0.25">
      <c r="A4580" s="5">
        <f>4572</f>
      </c>
      <c r="B4580" s="5" t="s">
        <v>3790</v>
      </c>
      <c r="C4580" s="5" t="s">
        <v>11</v>
      </c>
      <c r="D4580" s="5" t="s">
        <v>12</v>
      </c>
      <c r="E4580" s="5" t="s">
        <v>3496</v>
      </c>
    </row>
    <row r="4581" spans="1:5" x14ac:dyDescent="0.25">
      <c r="A4581" s="5">
        <f>4573</f>
      </c>
      <c r="B4581" s="5" t="s">
        <v>3791</v>
      </c>
      <c r="C4581" s="5" t="s">
        <v>11</v>
      </c>
      <c r="D4581" s="5" t="s">
        <v>12</v>
      </c>
      <c r="E4581" s="5" t="s">
        <v>3496</v>
      </c>
    </row>
    <row r="4582" spans="1:5" x14ac:dyDescent="0.25">
      <c r="A4582" s="5">
        <f>4574</f>
      </c>
      <c r="B4582" s="5" t="s">
        <v>3792</v>
      </c>
      <c r="C4582" s="5" t="s">
        <v>11</v>
      </c>
      <c r="D4582" s="5" t="s">
        <v>12</v>
      </c>
      <c r="E4582" s="5" t="s">
        <v>3496</v>
      </c>
    </row>
    <row r="4583" spans="1:5" x14ac:dyDescent="0.25">
      <c r="A4583" s="5">
        <f>4575</f>
      </c>
      <c r="B4583" s="5" t="s">
        <v>3793</v>
      </c>
      <c r="C4583" s="5" t="s">
        <v>11</v>
      </c>
      <c r="D4583" s="5" t="s">
        <v>12</v>
      </c>
      <c r="E4583" s="5" t="s">
        <v>3496</v>
      </c>
    </row>
    <row r="4584" spans="1:5" x14ac:dyDescent="0.25">
      <c r="A4584" s="5">
        <f>4576</f>
      </c>
      <c r="B4584" s="5" t="s">
        <v>3794</v>
      </c>
      <c r="C4584" s="5" t="s">
        <v>11</v>
      </c>
      <c r="D4584" s="5" t="s">
        <v>12</v>
      </c>
      <c r="E4584" s="5" t="s">
        <v>3496</v>
      </c>
    </row>
    <row r="4585" spans="1:5" x14ac:dyDescent="0.25">
      <c r="A4585" s="5">
        <f>4577</f>
      </c>
      <c r="B4585" s="5" t="s">
        <v>3795</v>
      </c>
      <c r="C4585" s="5" t="s">
        <v>11</v>
      </c>
      <c r="D4585" s="5" t="s">
        <v>12</v>
      </c>
      <c r="E4585" s="5" t="s">
        <v>3496</v>
      </c>
    </row>
    <row r="4586" spans="1:5" x14ac:dyDescent="0.25">
      <c r="A4586" s="5">
        <f>4578</f>
      </c>
      <c r="B4586" s="5" t="s">
        <v>3796</v>
      </c>
      <c r="C4586" s="5" t="s">
        <v>11</v>
      </c>
      <c r="D4586" s="5" t="s">
        <v>12</v>
      </c>
      <c r="E4586" s="5" t="s">
        <v>3496</v>
      </c>
    </row>
    <row r="4587" spans="1:5" x14ac:dyDescent="0.25">
      <c r="A4587" s="5">
        <f>4579</f>
      </c>
      <c r="B4587" s="5" t="s">
        <v>3797</v>
      </c>
      <c r="C4587" s="5" t="s">
        <v>11</v>
      </c>
      <c r="D4587" s="5" t="s">
        <v>12</v>
      </c>
      <c r="E4587" s="5" t="s">
        <v>3496</v>
      </c>
    </row>
    <row r="4588" spans="1:5" x14ac:dyDescent="0.25">
      <c r="A4588" s="5">
        <f>4580</f>
      </c>
      <c r="B4588" s="5" t="s">
        <v>3798</v>
      </c>
      <c r="C4588" s="5" t="s">
        <v>11</v>
      </c>
      <c r="D4588" s="5" t="s">
        <v>12</v>
      </c>
      <c r="E4588" s="5" t="s">
        <v>3496</v>
      </c>
    </row>
    <row r="4589" spans="1:5" x14ac:dyDescent="0.25">
      <c r="A4589" s="5">
        <f>4581</f>
      </c>
      <c r="B4589" s="5" t="s">
        <v>3799</v>
      </c>
      <c r="C4589" s="5" t="s">
        <v>11</v>
      </c>
      <c r="D4589" s="5" t="s">
        <v>12</v>
      </c>
      <c r="E4589" s="5" t="s">
        <v>3496</v>
      </c>
    </row>
    <row r="4590" spans="1:5" x14ac:dyDescent="0.25">
      <c r="A4590" s="5">
        <f>4582</f>
      </c>
      <c r="B4590" s="5" t="s">
        <v>3800</v>
      </c>
      <c r="C4590" s="5" t="s">
        <v>11</v>
      </c>
      <c r="D4590" s="5" t="s">
        <v>12</v>
      </c>
      <c r="E4590" s="5" t="s">
        <v>3496</v>
      </c>
    </row>
    <row r="4591" spans="1:5" x14ac:dyDescent="0.25">
      <c r="A4591" s="5">
        <f>4583</f>
      </c>
      <c r="B4591" s="5" t="s">
        <v>3801</v>
      </c>
      <c r="C4591" s="5" t="s">
        <v>11</v>
      </c>
      <c r="D4591" s="5" t="s">
        <v>12</v>
      </c>
      <c r="E4591" s="5" t="s">
        <v>3496</v>
      </c>
    </row>
    <row r="4592" spans="1:5" x14ac:dyDescent="0.25">
      <c r="A4592" s="5">
        <f>4584</f>
      </c>
      <c r="B4592" s="5" t="s">
        <v>3802</v>
      </c>
      <c r="C4592" s="5" t="s">
        <v>11</v>
      </c>
      <c r="D4592" s="5" t="s">
        <v>12</v>
      </c>
      <c r="E4592" s="5" t="s">
        <v>3496</v>
      </c>
    </row>
    <row r="4593" spans="1:5" x14ac:dyDescent="0.25">
      <c r="A4593" s="5">
        <f>4585</f>
      </c>
      <c r="B4593" s="5" t="s">
        <v>3803</v>
      </c>
      <c r="C4593" s="5" t="s">
        <v>11</v>
      </c>
      <c r="D4593" s="5" t="s">
        <v>12</v>
      </c>
      <c r="E4593" s="5" t="s">
        <v>3496</v>
      </c>
    </row>
    <row r="4594" spans="1:5" x14ac:dyDescent="0.25">
      <c r="A4594" s="5">
        <f>4586</f>
      </c>
      <c r="B4594" s="5" t="s">
        <v>3804</v>
      </c>
      <c r="C4594" s="5" t="s">
        <v>11</v>
      </c>
      <c r="D4594" s="5" t="s">
        <v>12</v>
      </c>
      <c r="E4594" s="5" t="s">
        <v>3496</v>
      </c>
    </row>
    <row r="4595" spans="1:5" x14ac:dyDescent="0.25">
      <c r="A4595" s="5">
        <f>4587</f>
      </c>
      <c r="B4595" s="5" t="s">
        <v>3805</v>
      </c>
      <c r="C4595" s="5" t="s">
        <v>11</v>
      </c>
      <c r="D4595" s="5" t="s">
        <v>12</v>
      </c>
      <c r="E4595" s="5" t="s">
        <v>3496</v>
      </c>
    </row>
    <row r="4596" spans="1:5" x14ac:dyDescent="0.25">
      <c r="A4596" s="5">
        <f>4588</f>
      </c>
      <c r="B4596" s="5" t="s">
        <v>3806</v>
      </c>
      <c r="C4596" s="5" t="s">
        <v>11</v>
      </c>
      <c r="D4596" s="5" t="s">
        <v>12</v>
      </c>
      <c r="E4596" s="5" t="s">
        <v>3496</v>
      </c>
    </row>
    <row r="4597" spans="1:5" x14ac:dyDescent="0.25">
      <c r="A4597" s="5">
        <f>4589</f>
      </c>
      <c r="B4597" s="5" t="s">
        <v>3807</v>
      </c>
      <c r="C4597" s="5" t="s">
        <v>11</v>
      </c>
      <c r="D4597" s="5" t="s">
        <v>12</v>
      </c>
      <c r="E4597" s="5" t="s">
        <v>3496</v>
      </c>
    </row>
    <row r="4598" spans="1:5" x14ac:dyDescent="0.25">
      <c r="A4598" s="5">
        <f>4590</f>
      </c>
      <c r="B4598" s="5" t="s">
        <v>3808</v>
      </c>
      <c r="C4598" s="5" t="s">
        <v>11</v>
      </c>
      <c r="D4598" s="5" t="s">
        <v>12</v>
      </c>
      <c r="E4598" s="5" t="s">
        <v>3496</v>
      </c>
    </row>
    <row r="4599" spans="1:5" x14ac:dyDescent="0.25">
      <c r="A4599" s="5">
        <f>4591</f>
      </c>
      <c r="B4599" s="5" t="s">
        <v>3809</v>
      </c>
      <c r="C4599" s="5" t="s">
        <v>11</v>
      </c>
      <c r="D4599" s="5" t="s">
        <v>12</v>
      </c>
      <c r="E4599" s="5" t="s">
        <v>3496</v>
      </c>
    </row>
    <row r="4600" spans="1:5" x14ac:dyDescent="0.25">
      <c r="A4600" s="5">
        <f>4592</f>
      </c>
      <c r="B4600" s="5" t="s">
        <v>3810</v>
      </c>
      <c r="C4600" s="5" t="s">
        <v>11</v>
      </c>
      <c r="D4600" s="5" t="s">
        <v>12</v>
      </c>
      <c r="E4600" s="5" t="s">
        <v>3496</v>
      </c>
    </row>
    <row r="4601" spans="1:5" x14ac:dyDescent="0.25">
      <c r="A4601" s="5">
        <f>4593</f>
      </c>
      <c r="B4601" s="5" t="s">
        <v>3811</v>
      </c>
      <c r="C4601" s="5" t="s">
        <v>11</v>
      </c>
      <c r="D4601" s="5" t="s">
        <v>12</v>
      </c>
      <c r="E4601" s="5" t="s">
        <v>3496</v>
      </c>
    </row>
    <row r="4602" spans="1:5" x14ac:dyDescent="0.25">
      <c r="A4602" s="5">
        <f>4594</f>
      </c>
      <c r="B4602" s="5" t="s">
        <v>3812</v>
      </c>
      <c r="C4602" s="5" t="s">
        <v>11</v>
      </c>
      <c r="D4602" s="5" t="s">
        <v>12</v>
      </c>
      <c r="E4602" s="5" t="s">
        <v>3496</v>
      </c>
    </row>
    <row r="4603" spans="1:5" x14ac:dyDescent="0.25">
      <c r="A4603" s="5">
        <f>4595</f>
      </c>
      <c r="B4603" s="5" t="s">
        <v>3813</v>
      </c>
      <c r="C4603" s="5" t="s">
        <v>11</v>
      </c>
      <c r="D4603" s="5" t="s">
        <v>12</v>
      </c>
      <c r="E4603" s="5" t="s">
        <v>3496</v>
      </c>
    </row>
    <row r="4604" spans="1:5" x14ac:dyDescent="0.25">
      <c r="A4604" s="5">
        <f>4596</f>
      </c>
      <c r="B4604" s="5" t="s">
        <v>3814</v>
      </c>
      <c r="C4604" s="5" t="s">
        <v>11</v>
      </c>
      <c r="D4604" s="5" t="s">
        <v>12</v>
      </c>
      <c r="E4604" s="5" t="s">
        <v>3496</v>
      </c>
    </row>
    <row r="4605" spans="1:5" x14ac:dyDescent="0.25">
      <c r="A4605" s="5">
        <f>4597</f>
      </c>
      <c r="B4605" s="5" t="s">
        <v>3815</v>
      </c>
      <c r="C4605" s="5" t="s">
        <v>11</v>
      </c>
      <c r="D4605" s="5" t="s">
        <v>12</v>
      </c>
      <c r="E4605" s="5" t="s">
        <v>3496</v>
      </c>
    </row>
    <row r="4606" spans="1:5" x14ac:dyDescent="0.25">
      <c r="A4606" s="5">
        <f>4598</f>
      </c>
      <c r="B4606" s="5" t="s">
        <v>3816</v>
      </c>
      <c r="C4606" s="5" t="s">
        <v>11</v>
      </c>
      <c r="D4606" s="5" t="s">
        <v>12</v>
      </c>
      <c r="E4606" s="5" t="s">
        <v>3496</v>
      </c>
    </row>
    <row r="4607" spans="1:5" x14ac:dyDescent="0.25">
      <c r="A4607" s="5">
        <f>4599</f>
      </c>
      <c r="B4607" s="5" t="s">
        <v>3817</v>
      </c>
      <c r="C4607" s="5" t="s">
        <v>11</v>
      </c>
      <c r="D4607" s="5" t="s">
        <v>12</v>
      </c>
      <c r="E4607" s="5" t="s">
        <v>3496</v>
      </c>
    </row>
    <row r="4608" spans="1:5" x14ac:dyDescent="0.25">
      <c r="A4608" s="5">
        <f>4600</f>
      </c>
      <c r="B4608" s="5" t="s">
        <v>3818</v>
      </c>
      <c r="C4608" s="5" t="s">
        <v>11</v>
      </c>
      <c r="D4608" s="5" t="s">
        <v>12</v>
      </c>
      <c r="E4608" s="5" t="s">
        <v>3496</v>
      </c>
    </row>
    <row r="4609" spans="1:5" x14ac:dyDescent="0.25">
      <c r="A4609" s="5">
        <f>4601</f>
      </c>
      <c r="B4609" s="5" t="s">
        <v>3819</v>
      </c>
      <c r="C4609" s="5" t="s">
        <v>11</v>
      </c>
      <c r="D4609" s="5" t="s">
        <v>12</v>
      </c>
      <c r="E4609" s="5" t="s">
        <v>3496</v>
      </c>
    </row>
    <row r="4610" spans="1:5" x14ac:dyDescent="0.25">
      <c r="A4610" s="5">
        <f>4602</f>
      </c>
      <c r="B4610" s="5" t="s">
        <v>3820</v>
      </c>
      <c r="C4610" s="5" t="s">
        <v>11</v>
      </c>
      <c r="D4610" s="5" t="s">
        <v>12</v>
      </c>
      <c r="E4610" s="5" t="s">
        <v>3496</v>
      </c>
    </row>
    <row r="4611" spans="1:5" x14ac:dyDescent="0.25">
      <c r="A4611" s="5">
        <f>4603</f>
      </c>
      <c r="B4611" s="5" t="s">
        <v>3821</v>
      </c>
      <c r="C4611" s="5" t="s">
        <v>11</v>
      </c>
      <c r="D4611" s="5" t="s">
        <v>12</v>
      </c>
      <c r="E4611" s="5" t="s">
        <v>3496</v>
      </c>
    </row>
    <row r="4612" spans="1:5" x14ac:dyDescent="0.25">
      <c r="A4612" s="5">
        <f>4604</f>
      </c>
      <c r="B4612" s="5" t="s">
        <v>3822</v>
      </c>
      <c r="C4612" s="5" t="s">
        <v>11</v>
      </c>
      <c r="D4612" s="5" t="s">
        <v>12</v>
      </c>
      <c r="E4612" s="5" t="s">
        <v>3496</v>
      </c>
    </row>
    <row r="4613" spans="1:5" x14ac:dyDescent="0.25">
      <c r="A4613" s="5">
        <f>4605</f>
      </c>
      <c r="B4613" s="5" t="s">
        <v>3823</v>
      </c>
      <c r="C4613" s="5" t="s">
        <v>11</v>
      </c>
      <c r="D4613" s="5" t="s">
        <v>12</v>
      </c>
      <c r="E4613" s="5" t="s">
        <v>3496</v>
      </c>
    </row>
    <row r="4614" spans="1:5" x14ac:dyDescent="0.25">
      <c r="A4614" s="5">
        <f>4606</f>
      </c>
      <c r="B4614" s="5" t="s">
        <v>3824</v>
      </c>
      <c r="C4614" s="5" t="s">
        <v>11</v>
      </c>
      <c r="D4614" s="5" t="s">
        <v>12</v>
      </c>
      <c r="E4614" s="5" t="s">
        <v>3496</v>
      </c>
    </row>
    <row r="4615" spans="1:5" x14ac:dyDescent="0.25">
      <c r="A4615" s="5">
        <f>4607</f>
      </c>
      <c r="B4615" s="5" t="s">
        <v>3825</v>
      </c>
      <c r="C4615" s="5" t="s">
        <v>11</v>
      </c>
      <c r="D4615" s="5" t="s">
        <v>12</v>
      </c>
      <c r="E4615" s="5" t="s">
        <v>3496</v>
      </c>
    </row>
    <row r="4616" spans="1:5" x14ac:dyDescent="0.25">
      <c r="A4616" s="5">
        <f>4608</f>
      </c>
      <c r="B4616" s="5" t="s">
        <v>3826</v>
      </c>
      <c r="C4616" s="5" t="s">
        <v>11</v>
      </c>
      <c r="D4616" s="5" t="s">
        <v>12</v>
      </c>
      <c r="E4616" s="5" t="s">
        <v>3496</v>
      </c>
    </row>
    <row r="4617" spans="1:5" x14ac:dyDescent="0.25">
      <c r="A4617" s="5">
        <f>4609</f>
      </c>
      <c r="B4617" s="5" t="s">
        <v>3827</v>
      </c>
      <c r="C4617" s="5" t="s">
        <v>11</v>
      </c>
      <c r="D4617" s="5" t="s">
        <v>12</v>
      </c>
      <c r="E4617" s="5" t="s">
        <v>3496</v>
      </c>
    </row>
    <row r="4618" spans="1:5" x14ac:dyDescent="0.25">
      <c r="A4618" s="5">
        <f>4610</f>
      </c>
      <c r="B4618" s="5" t="s">
        <v>3828</v>
      </c>
      <c r="C4618" s="5" t="s">
        <v>11</v>
      </c>
      <c r="D4618" s="5" t="s">
        <v>12</v>
      </c>
      <c r="E4618" s="5" t="s">
        <v>3496</v>
      </c>
    </row>
    <row r="4619" spans="1:5" x14ac:dyDescent="0.25">
      <c r="A4619" s="5">
        <f>4611</f>
      </c>
      <c r="B4619" s="5" t="s">
        <v>3829</v>
      </c>
      <c r="C4619" s="5" t="s">
        <v>11</v>
      </c>
      <c r="D4619" s="5" t="s">
        <v>12</v>
      </c>
      <c r="E4619" s="5" t="s">
        <v>3496</v>
      </c>
    </row>
    <row r="4620" spans="1:5" x14ac:dyDescent="0.25">
      <c r="A4620" s="5">
        <f>4612</f>
      </c>
      <c r="B4620" s="5" t="s">
        <v>3830</v>
      </c>
      <c r="C4620" s="5" t="s">
        <v>11</v>
      </c>
      <c r="D4620" s="5" t="s">
        <v>12</v>
      </c>
      <c r="E4620" s="5" t="s">
        <v>3496</v>
      </c>
    </row>
    <row r="4621" spans="1:5" x14ac:dyDescent="0.25">
      <c r="A4621" s="5">
        <f>4613</f>
      </c>
      <c r="B4621" s="5" t="s">
        <v>3831</v>
      </c>
      <c r="C4621" s="5" t="s">
        <v>11</v>
      </c>
      <c r="D4621" s="5" t="s">
        <v>12</v>
      </c>
      <c r="E4621" s="5" t="s">
        <v>3496</v>
      </c>
    </row>
    <row r="4622" spans="1:5" x14ac:dyDescent="0.25">
      <c r="A4622" s="5">
        <f>4614</f>
      </c>
      <c r="B4622" s="5" t="s">
        <v>3832</v>
      </c>
      <c r="C4622" s="5" t="s">
        <v>11</v>
      </c>
      <c r="D4622" s="5" t="s">
        <v>12</v>
      </c>
      <c r="E4622" s="5" t="s">
        <v>3496</v>
      </c>
    </row>
    <row r="4623" spans="1:5" x14ac:dyDescent="0.25">
      <c r="A4623" s="5">
        <f>4615</f>
      </c>
      <c r="B4623" s="5" t="s">
        <v>3833</v>
      </c>
      <c r="C4623" s="5" t="s">
        <v>11</v>
      </c>
      <c r="D4623" s="5" t="s">
        <v>12</v>
      </c>
      <c r="E4623" s="5" t="s">
        <v>3496</v>
      </c>
    </row>
    <row r="4624" spans="1:5" x14ac:dyDescent="0.25">
      <c r="A4624" s="5">
        <f>4616</f>
      </c>
      <c r="B4624" s="5" t="s">
        <v>3834</v>
      </c>
      <c r="C4624" s="5" t="s">
        <v>11</v>
      </c>
      <c r="D4624" s="5" t="s">
        <v>12</v>
      </c>
      <c r="E4624" s="5" t="s">
        <v>3496</v>
      </c>
    </row>
    <row r="4625" spans="1:5" x14ac:dyDescent="0.25">
      <c r="A4625" s="5">
        <f>4617</f>
      </c>
      <c r="B4625" s="5" t="s">
        <v>3835</v>
      </c>
      <c r="C4625" s="5" t="s">
        <v>11</v>
      </c>
      <c r="D4625" s="5" t="s">
        <v>12</v>
      </c>
      <c r="E4625" s="5" t="s">
        <v>3496</v>
      </c>
    </row>
    <row r="4626" spans="1:5" x14ac:dyDescent="0.25">
      <c r="A4626" s="5">
        <f>4618</f>
      </c>
      <c r="B4626" s="5" t="s">
        <v>3836</v>
      </c>
      <c r="C4626" s="5" t="s">
        <v>11</v>
      </c>
      <c r="D4626" s="5" t="s">
        <v>12</v>
      </c>
      <c r="E4626" s="5" t="s">
        <v>3496</v>
      </c>
    </row>
    <row r="4627" spans="1:5" x14ac:dyDescent="0.25">
      <c r="A4627" s="5">
        <f>4619</f>
      </c>
      <c r="B4627" s="5" t="s">
        <v>3837</v>
      </c>
      <c r="C4627" s="5" t="s">
        <v>11</v>
      </c>
      <c r="D4627" s="5" t="s">
        <v>12</v>
      </c>
      <c r="E4627" s="5" t="s">
        <v>3496</v>
      </c>
    </row>
    <row r="4628" spans="1:5" x14ac:dyDescent="0.25">
      <c r="A4628" s="5">
        <f>4620</f>
      </c>
      <c r="B4628" s="5" t="s">
        <v>3838</v>
      </c>
      <c r="C4628" s="5" t="s">
        <v>11</v>
      </c>
      <c r="D4628" s="5" t="s">
        <v>12</v>
      </c>
      <c r="E4628" s="5" t="s">
        <v>3496</v>
      </c>
    </row>
    <row r="4629" spans="1:5" x14ac:dyDescent="0.25">
      <c r="A4629" s="5">
        <f>4621</f>
      </c>
      <c r="B4629" s="5" t="s">
        <v>3839</v>
      </c>
      <c r="C4629" s="5" t="s">
        <v>11</v>
      </c>
      <c r="D4629" s="5" t="s">
        <v>12</v>
      </c>
      <c r="E4629" s="5" t="s">
        <v>3496</v>
      </c>
    </row>
    <row r="4630" spans="1:5" x14ac:dyDescent="0.25">
      <c r="A4630" s="5">
        <f>4622</f>
      </c>
      <c r="B4630" s="5" t="s">
        <v>3840</v>
      </c>
      <c r="C4630" s="5" t="s">
        <v>11</v>
      </c>
      <c r="D4630" s="5" t="s">
        <v>12</v>
      </c>
      <c r="E4630" s="5" t="s">
        <v>3496</v>
      </c>
    </row>
    <row r="4631" spans="1:5" x14ac:dyDescent="0.25">
      <c r="A4631" s="5">
        <f>4623</f>
      </c>
      <c r="B4631" s="5" t="s">
        <v>3841</v>
      </c>
      <c r="C4631" s="5" t="s">
        <v>11</v>
      </c>
      <c r="D4631" s="5" t="s">
        <v>12</v>
      </c>
      <c r="E4631" s="5" t="s">
        <v>3496</v>
      </c>
    </row>
    <row r="4632" spans="1:5" x14ac:dyDescent="0.25">
      <c r="A4632" s="5">
        <f>4624</f>
      </c>
      <c r="B4632" s="5" t="s">
        <v>3842</v>
      </c>
      <c r="C4632" s="5" t="s">
        <v>11</v>
      </c>
      <c r="D4632" s="5" t="s">
        <v>12</v>
      </c>
      <c r="E4632" s="5" t="s">
        <v>3496</v>
      </c>
    </row>
    <row r="4633" spans="1:5" x14ac:dyDescent="0.25">
      <c r="A4633" s="5">
        <f>4625</f>
      </c>
      <c r="B4633" s="5" t="s">
        <v>3843</v>
      </c>
      <c r="C4633" s="5" t="s">
        <v>11</v>
      </c>
      <c r="D4633" s="5" t="s">
        <v>12</v>
      </c>
      <c r="E4633" s="5" t="s">
        <v>3496</v>
      </c>
    </row>
    <row r="4634" spans="1:5" x14ac:dyDescent="0.25">
      <c r="A4634" s="5">
        <f>4626</f>
      </c>
      <c r="B4634" s="5" t="s">
        <v>3844</v>
      </c>
      <c r="C4634" s="5" t="s">
        <v>11</v>
      </c>
      <c r="D4634" s="5" t="s">
        <v>12</v>
      </c>
      <c r="E4634" s="5" t="s">
        <v>3496</v>
      </c>
    </row>
    <row r="4635" spans="1:5" x14ac:dyDescent="0.25">
      <c r="A4635" s="5">
        <f>4627</f>
      </c>
      <c r="B4635" s="5" t="s">
        <v>3845</v>
      </c>
      <c r="C4635" s="5" t="s">
        <v>11</v>
      </c>
      <c r="D4635" s="5" t="s">
        <v>12</v>
      </c>
      <c r="E4635" s="5" t="s">
        <v>3496</v>
      </c>
    </row>
    <row r="4636" spans="1:5" x14ac:dyDescent="0.25">
      <c r="A4636" s="5">
        <f>4628</f>
      </c>
      <c r="B4636" s="5" t="s">
        <v>3846</v>
      </c>
      <c r="C4636" s="5" t="s">
        <v>11</v>
      </c>
      <c r="D4636" s="5" t="s">
        <v>12</v>
      </c>
      <c r="E4636" s="5" t="s">
        <v>3496</v>
      </c>
    </row>
    <row r="4637" spans="1:5" x14ac:dyDescent="0.25">
      <c r="A4637" s="5">
        <f>4629</f>
      </c>
      <c r="B4637" s="5" t="s">
        <v>3847</v>
      </c>
      <c r="C4637" s="5" t="s">
        <v>11</v>
      </c>
      <c r="D4637" s="5" t="s">
        <v>12</v>
      </c>
      <c r="E4637" s="5" t="s">
        <v>3496</v>
      </c>
    </row>
    <row r="4638" spans="1:5" x14ac:dyDescent="0.25">
      <c r="A4638" s="5">
        <f>4630</f>
      </c>
      <c r="B4638" s="5" t="s">
        <v>3848</v>
      </c>
      <c r="C4638" s="5" t="s">
        <v>11</v>
      </c>
      <c r="D4638" s="5" t="s">
        <v>12</v>
      </c>
      <c r="E4638" s="5" t="s">
        <v>3496</v>
      </c>
    </row>
    <row r="4639" spans="1:5" x14ac:dyDescent="0.25">
      <c r="A4639" s="5">
        <f>4631</f>
      </c>
      <c r="B4639" s="5" t="s">
        <v>3849</v>
      </c>
      <c r="C4639" s="5" t="s">
        <v>11</v>
      </c>
      <c r="D4639" s="5" t="s">
        <v>12</v>
      </c>
      <c r="E4639" s="5" t="s">
        <v>3496</v>
      </c>
    </row>
    <row r="4640" spans="1:5" x14ac:dyDescent="0.25">
      <c r="A4640" s="5">
        <f>4632</f>
      </c>
      <c r="B4640" s="5" t="s">
        <v>3850</v>
      </c>
      <c r="C4640" s="5" t="s">
        <v>11</v>
      </c>
      <c r="D4640" s="5" t="s">
        <v>12</v>
      </c>
      <c r="E4640" s="5" t="s">
        <v>3496</v>
      </c>
    </row>
    <row r="4641" spans="1:5" x14ac:dyDescent="0.25">
      <c r="A4641" s="5">
        <f>4633</f>
      </c>
      <c r="B4641" s="5" t="s">
        <v>3851</v>
      </c>
      <c r="C4641" s="5" t="s">
        <v>11</v>
      </c>
      <c r="D4641" s="5" t="s">
        <v>12</v>
      </c>
      <c r="E4641" s="5" t="s">
        <v>3496</v>
      </c>
    </row>
    <row r="4642" spans="1:5" x14ac:dyDescent="0.25">
      <c r="A4642" s="5">
        <f>4634</f>
      </c>
      <c r="B4642" s="5" t="s">
        <v>3852</v>
      </c>
      <c r="C4642" s="5" t="s">
        <v>11</v>
      </c>
      <c r="D4642" s="5" t="s">
        <v>12</v>
      </c>
      <c r="E4642" s="5" t="s">
        <v>762</v>
      </c>
    </row>
    <row r="4643" spans="1:5" x14ac:dyDescent="0.25">
      <c r="A4643" s="5">
        <f>4635</f>
      </c>
      <c r="B4643" s="5" t="s">
        <v>3853</v>
      </c>
      <c r="C4643" s="5" t="s">
        <v>11</v>
      </c>
      <c r="D4643" s="5" t="s">
        <v>12</v>
      </c>
      <c r="E4643" s="5" t="s">
        <v>762</v>
      </c>
    </row>
    <row r="4644" spans="1:5" x14ac:dyDescent="0.25">
      <c r="A4644" s="5">
        <f>4636</f>
      </c>
      <c r="B4644" s="5" t="s">
        <v>3854</v>
      </c>
      <c r="C4644" s="5" t="s">
        <v>11</v>
      </c>
      <c r="D4644" s="5" t="s">
        <v>12</v>
      </c>
      <c r="E4644" s="5" t="s">
        <v>762</v>
      </c>
    </row>
    <row r="4645" spans="1:5" x14ac:dyDescent="0.25">
      <c r="A4645" s="5">
        <f>4637</f>
      </c>
      <c r="B4645" s="5" t="s">
        <v>3855</v>
      </c>
      <c r="C4645" s="5" t="s">
        <v>11</v>
      </c>
      <c r="D4645" s="5" t="s">
        <v>12</v>
      </c>
      <c r="E4645" s="5" t="s">
        <v>762</v>
      </c>
    </row>
    <row r="4646" spans="1:5" x14ac:dyDescent="0.25">
      <c r="A4646" s="5">
        <f>4638</f>
      </c>
      <c r="B4646" s="5" t="s">
        <v>3856</v>
      </c>
      <c r="C4646" s="5" t="s">
        <v>11</v>
      </c>
      <c r="D4646" s="5" t="s">
        <v>12</v>
      </c>
      <c r="E4646" s="5" t="s">
        <v>762</v>
      </c>
    </row>
    <row r="4647" spans="1:5" x14ac:dyDescent="0.25">
      <c r="A4647" s="5">
        <f>4639</f>
      </c>
      <c r="B4647" s="5" t="s">
        <v>3857</v>
      </c>
      <c r="C4647" s="5" t="s">
        <v>11</v>
      </c>
      <c r="D4647" s="5" t="s">
        <v>12</v>
      </c>
      <c r="E4647" s="5" t="s">
        <v>762</v>
      </c>
    </row>
    <row r="4648" spans="1:5" x14ac:dyDescent="0.25">
      <c r="A4648" s="5">
        <f>4640</f>
      </c>
      <c r="B4648" s="5" t="s">
        <v>3858</v>
      </c>
      <c r="C4648" s="5" t="s">
        <v>11</v>
      </c>
      <c r="D4648" s="5" t="s">
        <v>12</v>
      </c>
      <c r="E4648" s="5" t="s">
        <v>762</v>
      </c>
    </row>
    <row r="4649" spans="1:5" x14ac:dyDescent="0.25">
      <c r="A4649" s="5">
        <f>4641</f>
      </c>
      <c r="B4649" s="5" t="s">
        <v>3859</v>
      </c>
      <c r="C4649" s="5" t="s">
        <v>11</v>
      </c>
      <c r="D4649" s="5" t="s">
        <v>12</v>
      </c>
      <c r="E4649" s="5" t="s">
        <v>3860</v>
      </c>
    </row>
    <row r="4650" spans="1:5" x14ac:dyDescent="0.25">
      <c r="A4650" s="5">
        <f>4642</f>
      </c>
      <c r="B4650" s="5" t="s">
        <v>3861</v>
      </c>
      <c r="C4650" s="5" t="s">
        <v>11</v>
      </c>
      <c r="D4650" s="5" t="s">
        <v>12</v>
      </c>
      <c r="E4650" s="5" t="s">
        <v>2626</v>
      </c>
    </row>
    <row r="4651" spans="1:5" x14ac:dyDescent="0.25">
      <c r="A4651" s="5">
        <f>4643</f>
      </c>
      <c r="B4651" s="5" t="s">
        <v>3862</v>
      </c>
      <c r="C4651" s="5" t="s">
        <v>11</v>
      </c>
      <c r="D4651" s="5" t="s">
        <v>12</v>
      </c>
      <c r="E4651" s="5" t="s">
        <v>724</v>
      </c>
    </row>
    <row r="4652" spans="1:5" x14ac:dyDescent="0.25">
      <c r="A4652" s="5">
        <f>4644</f>
      </c>
      <c r="B4652" s="5" t="s">
        <v>3863</v>
      </c>
      <c r="C4652" s="5" t="s">
        <v>11</v>
      </c>
      <c r="D4652" s="5" t="s">
        <v>12</v>
      </c>
      <c r="E4652" s="5" t="s">
        <v>819</v>
      </c>
    </row>
    <row r="4653" spans="1:5" x14ac:dyDescent="0.25">
      <c r="A4653" s="5">
        <f>4645</f>
      </c>
      <c r="B4653" s="5" t="s">
        <v>3864</v>
      </c>
      <c r="C4653" s="5" t="s">
        <v>11</v>
      </c>
      <c r="D4653" s="5" t="s">
        <v>12</v>
      </c>
      <c r="E4653" s="5" t="s">
        <v>2876</v>
      </c>
    </row>
    <row r="4654" spans="1:5" x14ac:dyDescent="0.25">
      <c r="A4654" s="5">
        <f>4646</f>
      </c>
      <c r="B4654" s="5" t="s">
        <v>3865</v>
      </c>
      <c r="C4654" s="5" t="s">
        <v>11</v>
      </c>
      <c r="D4654" s="5" t="s">
        <v>12</v>
      </c>
      <c r="E4654" s="5" t="s">
        <v>3866</v>
      </c>
    </row>
    <row r="4655" spans="1:5" x14ac:dyDescent="0.25">
      <c r="A4655" s="5">
        <f>4647</f>
      </c>
      <c r="B4655" s="5" t="s">
        <v>3867</v>
      </c>
      <c r="C4655" s="5" t="s">
        <v>11</v>
      </c>
      <c r="D4655" s="5" t="s">
        <v>12</v>
      </c>
      <c r="E4655" s="5" t="s">
        <v>3866</v>
      </c>
    </row>
    <row r="4656" spans="1:5" x14ac:dyDescent="0.25">
      <c r="A4656" s="5">
        <f>4648</f>
      </c>
      <c r="B4656" s="5" t="s">
        <v>3868</v>
      </c>
      <c r="C4656" s="5" t="s">
        <v>11</v>
      </c>
      <c r="D4656" s="5" t="s">
        <v>12</v>
      </c>
      <c r="E4656" s="5" t="s">
        <v>3869</v>
      </c>
    </row>
    <row r="4657" spans="1:5" x14ac:dyDescent="0.25">
      <c r="A4657" s="5">
        <f>4649</f>
      </c>
      <c r="B4657" s="5" t="s">
        <v>3870</v>
      </c>
      <c r="C4657" s="5" t="s">
        <v>11</v>
      </c>
      <c r="D4657" s="5" t="s">
        <v>12</v>
      </c>
      <c r="E4657" s="5" t="s">
        <v>3589</v>
      </c>
    </row>
    <row r="4658" spans="1:5" x14ac:dyDescent="0.25">
      <c r="A4658" s="5">
        <f>4650</f>
      </c>
      <c r="B4658" s="5" t="s">
        <v>3871</v>
      </c>
      <c r="C4658" s="5" t="s">
        <v>11</v>
      </c>
      <c r="D4658" s="5" t="s">
        <v>12</v>
      </c>
      <c r="E4658" s="5" t="s">
        <v>2876</v>
      </c>
    </row>
    <row r="4659" spans="1:5" x14ac:dyDescent="0.25">
      <c r="A4659" s="5">
        <f>4651</f>
      </c>
      <c r="B4659" s="5" t="s">
        <v>3872</v>
      </c>
      <c r="C4659" s="5" t="s">
        <v>11</v>
      </c>
      <c r="D4659" s="5" t="s">
        <v>12</v>
      </c>
      <c r="E4659" s="5" t="s">
        <v>1077</v>
      </c>
    </row>
    <row r="4660" spans="1:5" x14ac:dyDescent="0.25">
      <c r="A4660" s="5">
        <f>4652</f>
      </c>
      <c r="B4660" s="5" t="s">
        <v>3873</v>
      </c>
      <c r="C4660" s="5" t="s">
        <v>11</v>
      </c>
      <c r="D4660" s="5" t="s">
        <v>12</v>
      </c>
      <c r="E4660" s="5" t="s">
        <v>930</v>
      </c>
    </row>
    <row r="4661" spans="1:5" x14ac:dyDescent="0.25">
      <c r="A4661" s="5">
        <f>4653</f>
      </c>
      <c r="B4661" s="5" t="s">
        <v>3874</v>
      </c>
      <c r="C4661" s="5" t="s">
        <v>11</v>
      </c>
      <c r="D4661" s="5" t="s">
        <v>12</v>
      </c>
      <c r="E4661" s="5" t="s">
        <v>3875</v>
      </c>
    </row>
    <row r="4662" spans="1:5" x14ac:dyDescent="0.25">
      <c r="A4662" s="5">
        <f>4654</f>
      </c>
      <c r="B4662" s="5" t="s">
        <v>3876</v>
      </c>
      <c r="C4662" s="5" t="s">
        <v>11</v>
      </c>
      <c r="D4662" s="5" t="s">
        <v>12</v>
      </c>
      <c r="E4662" s="5" t="s">
        <v>2253</v>
      </c>
    </row>
    <row r="4663" spans="1:5" x14ac:dyDescent="0.25">
      <c r="A4663" s="5">
        <f>4655</f>
      </c>
      <c r="B4663" s="5" t="s">
        <v>3877</v>
      </c>
      <c r="C4663" s="5" t="s">
        <v>11</v>
      </c>
      <c r="D4663" s="5" t="s">
        <v>12</v>
      </c>
      <c r="E4663" s="5" t="s">
        <v>3545</v>
      </c>
    </row>
    <row r="4664" spans="1:5" x14ac:dyDescent="0.25">
      <c r="A4664" s="5">
        <f>4656</f>
      </c>
      <c r="B4664" s="5" t="s">
        <v>3878</v>
      </c>
      <c r="C4664" s="5" t="s">
        <v>11</v>
      </c>
      <c r="D4664" s="5" t="s">
        <v>12</v>
      </c>
      <c r="E4664" s="5" t="s">
        <v>3879</v>
      </c>
    </row>
    <row r="4665" spans="1:5" x14ac:dyDescent="0.25">
      <c r="A4665" s="5">
        <f>4657</f>
      </c>
      <c r="B4665" s="5" t="s">
        <v>3880</v>
      </c>
      <c r="C4665" s="5" t="s">
        <v>11</v>
      </c>
      <c r="D4665" s="5" t="s">
        <v>12</v>
      </c>
      <c r="E4665" s="5" t="s">
        <v>3565</v>
      </c>
    </row>
    <row r="4666" spans="1:5" x14ac:dyDescent="0.25">
      <c r="A4666" s="5">
        <f>4658</f>
      </c>
      <c r="B4666" s="5" t="s">
        <v>3881</v>
      </c>
      <c r="C4666" s="5" t="s">
        <v>11</v>
      </c>
      <c r="D4666" s="5" t="s">
        <v>12</v>
      </c>
      <c r="E4666" s="5" t="s">
        <v>2381</v>
      </c>
    </row>
    <row r="4667" spans="1:5" x14ac:dyDescent="0.25">
      <c r="A4667" s="5">
        <f>4659</f>
      </c>
      <c r="B4667" s="5" t="s">
        <v>3882</v>
      </c>
      <c r="C4667" s="5" t="s">
        <v>11</v>
      </c>
      <c r="D4667" s="5" t="s">
        <v>12</v>
      </c>
      <c r="E4667" s="5" t="s">
        <v>2381</v>
      </c>
    </row>
    <row r="4668" spans="1:5" x14ac:dyDescent="0.25">
      <c r="A4668" s="5">
        <f>4660</f>
      </c>
      <c r="B4668" s="5" t="s">
        <v>3883</v>
      </c>
      <c r="C4668" s="5" t="s">
        <v>11</v>
      </c>
      <c r="D4668" s="5" t="s">
        <v>12</v>
      </c>
      <c r="E4668" s="5" t="s">
        <v>3549</v>
      </c>
    </row>
    <row r="4669" spans="1:5" x14ac:dyDescent="0.25">
      <c r="A4669" s="5">
        <f>4661</f>
      </c>
      <c r="B4669" s="5" t="s">
        <v>3884</v>
      </c>
      <c r="C4669" s="5" t="s">
        <v>11</v>
      </c>
      <c r="D4669" s="5" t="s">
        <v>12</v>
      </c>
      <c r="E4669" s="5" t="s">
        <v>1067</v>
      </c>
    </row>
    <row r="4670" spans="1:5" x14ac:dyDescent="0.25">
      <c r="A4670" s="5">
        <f>4662</f>
      </c>
      <c r="B4670" s="5" t="s">
        <v>3885</v>
      </c>
      <c r="C4670" s="5" t="s">
        <v>11</v>
      </c>
      <c r="D4670" s="5" t="s">
        <v>12</v>
      </c>
      <c r="E4670" s="5" t="s">
        <v>3543</v>
      </c>
    </row>
    <row r="4671" spans="1:5" x14ac:dyDescent="0.25">
      <c r="A4671" s="5">
        <f>4663</f>
      </c>
      <c r="B4671" s="5" t="s">
        <v>3886</v>
      </c>
      <c r="C4671" s="5" t="s">
        <v>11</v>
      </c>
      <c r="D4671" s="5" t="s">
        <v>12</v>
      </c>
      <c r="E4671" s="5" t="s">
        <v>2579</v>
      </c>
    </row>
    <row r="4672" spans="1:5" x14ac:dyDescent="0.25">
      <c r="A4672" s="5">
        <f>4664</f>
      </c>
      <c r="B4672" s="5" t="s">
        <v>3887</v>
      </c>
      <c r="C4672" s="5" t="s">
        <v>11</v>
      </c>
      <c r="D4672" s="5" t="s">
        <v>12</v>
      </c>
      <c r="E4672" s="5" t="s">
        <v>2661</v>
      </c>
    </row>
    <row r="4673" spans="1:5" x14ac:dyDescent="0.25">
      <c r="A4673" s="5">
        <f>4665</f>
      </c>
      <c r="B4673" s="5" t="s">
        <v>3888</v>
      </c>
      <c r="C4673" s="5" t="s">
        <v>11</v>
      </c>
      <c r="D4673" s="5" t="s">
        <v>12</v>
      </c>
      <c r="E4673" s="5" t="s">
        <v>1051</v>
      </c>
    </row>
    <row r="4674" spans="1:5" x14ac:dyDescent="0.25">
      <c r="A4674" s="5">
        <f>4666</f>
      </c>
      <c r="B4674" s="5" t="s">
        <v>3889</v>
      </c>
      <c r="C4674" s="5" t="s">
        <v>11</v>
      </c>
      <c r="D4674" s="5" t="s">
        <v>12</v>
      </c>
      <c r="E4674" s="5" t="s">
        <v>1002</v>
      </c>
    </row>
    <row r="4675" spans="1:5" x14ac:dyDescent="0.25">
      <c r="A4675" s="5">
        <f>4667</f>
      </c>
      <c r="B4675" s="5" t="s">
        <v>3890</v>
      </c>
      <c r="C4675" s="5" t="s">
        <v>11</v>
      </c>
      <c r="D4675" s="5" t="s">
        <v>12</v>
      </c>
      <c r="E4675" s="5" t="s">
        <v>3891</v>
      </c>
    </row>
    <row r="4676" spans="1:5" x14ac:dyDescent="0.25">
      <c r="A4676" s="5">
        <f>4668</f>
      </c>
      <c r="B4676" s="5" t="s">
        <v>3892</v>
      </c>
      <c r="C4676" s="5" t="s">
        <v>11</v>
      </c>
      <c r="D4676" s="5" t="s">
        <v>12</v>
      </c>
      <c r="E4676" s="5" t="s">
        <v>3716</v>
      </c>
    </row>
    <row r="4677" spans="1:5" x14ac:dyDescent="0.25">
      <c r="A4677" s="5">
        <f>4669</f>
      </c>
      <c r="B4677" s="5" t="s">
        <v>3893</v>
      </c>
      <c r="C4677" s="5" t="s">
        <v>11</v>
      </c>
      <c r="D4677" s="5" t="s">
        <v>12</v>
      </c>
      <c r="E4677" s="5" t="s">
        <v>3716</v>
      </c>
    </row>
    <row r="4678" spans="1:5" x14ac:dyDescent="0.25">
      <c r="A4678" s="5">
        <f>4670</f>
      </c>
      <c r="B4678" s="5" t="s">
        <v>3894</v>
      </c>
      <c r="C4678" s="5" t="s">
        <v>11</v>
      </c>
      <c r="D4678" s="5" t="s">
        <v>12</v>
      </c>
      <c r="E4678" s="5" t="s">
        <v>3716</v>
      </c>
    </row>
    <row r="4679" spans="1:5" x14ac:dyDescent="0.25">
      <c r="A4679" s="5">
        <f>4671</f>
      </c>
      <c r="B4679" s="5" t="s">
        <v>3895</v>
      </c>
      <c r="C4679" s="5" t="s">
        <v>11</v>
      </c>
      <c r="D4679" s="5" t="s">
        <v>12</v>
      </c>
      <c r="E4679" s="5" t="s">
        <v>3716</v>
      </c>
    </row>
    <row r="4680" spans="1:5" x14ac:dyDescent="0.25">
      <c r="A4680" s="5">
        <f>4672</f>
      </c>
      <c r="B4680" s="5" t="s">
        <v>3896</v>
      </c>
      <c r="C4680" s="5" t="s">
        <v>11</v>
      </c>
      <c r="D4680" s="5" t="s">
        <v>12</v>
      </c>
      <c r="E4680" s="5" t="s">
        <v>3716</v>
      </c>
    </row>
    <row r="4681" spans="1:5" x14ac:dyDescent="0.25">
      <c r="A4681" s="5">
        <f>4673</f>
      </c>
      <c r="B4681" s="5" t="s">
        <v>3897</v>
      </c>
      <c r="C4681" s="5" t="s">
        <v>11</v>
      </c>
      <c r="D4681" s="5" t="s">
        <v>12</v>
      </c>
      <c r="E4681" s="5" t="s">
        <v>3716</v>
      </c>
    </row>
    <row r="4682" spans="1:5" x14ac:dyDescent="0.25">
      <c r="A4682" s="5">
        <f>4674</f>
      </c>
      <c r="B4682" s="5" t="s">
        <v>3898</v>
      </c>
      <c r="C4682" s="5" t="s">
        <v>11</v>
      </c>
      <c r="D4682" s="5" t="s">
        <v>12</v>
      </c>
      <c r="E4682" s="5" t="s">
        <v>3716</v>
      </c>
    </row>
    <row r="4683" spans="1:5" x14ac:dyDescent="0.25">
      <c r="A4683" s="5">
        <f>4675</f>
      </c>
      <c r="B4683" s="5" t="s">
        <v>3899</v>
      </c>
      <c r="C4683" s="5" t="s">
        <v>11</v>
      </c>
      <c r="D4683" s="5" t="s">
        <v>12</v>
      </c>
      <c r="E4683" s="5" t="s">
        <v>3716</v>
      </c>
    </row>
    <row r="4684" spans="1:5" x14ac:dyDescent="0.25">
      <c r="A4684" s="5">
        <f>4676</f>
      </c>
      <c r="B4684" s="5" t="s">
        <v>3900</v>
      </c>
      <c r="C4684" s="5" t="s">
        <v>11</v>
      </c>
      <c r="D4684" s="5" t="s">
        <v>12</v>
      </c>
      <c r="E4684" s="5" t="s">
        <v>3716</v>
      </c>
    </row>
    <row r="4685" spans="1:5" x14ac:dyDescent="0.25">
      <c r="A4685" s="5">
        <f>4677</f>
      </c>
      <c r="B4685" s="5" t="s">
        <v>3901</v>
      </c>
      <c r="C4685" s="5" t="s">
        <v>11</v>
      </c>
      <c r="D4685" s="5" t="s">
        <v>12</v>
      </c>
      <c r="E4685" s="5" t="s">
        <v>3716</v>
      </c>
    </row>
    <row r="4686" spans="1:5" x14ac:dyDescent="0.25">
      <c r="A4686" s="5">
        <f>4678</f>
      </c>
      <c r="B4686" s="5" t="s">
        <v>3902</v>
      </c>
      <c r="C4686" s="5" t="s">
        <v>11</v>
      </c>
      <c r="D4686" s="5" t="s">
        <v>12</v>
      </c>
      <c r="E4686" s="5" t="s">
        <v>3716</v>
      </c>
    </row>
    <row r="4687" spans="1:5" x14ac:dyDescent="0.25">
      <c r="A4687" s="5">
        <f>4679</f>
      </c>
      <c r="B4687" s="5" t="s">
        <v>3903</v>
      </c>
      <c r="C4687" s="5" t="s">
        <v>11</v>
      </c>
      <c r="D4687" s="5" t="s">
        <v>12</v>
      </c>
      <c r="E4687" s="5" t="s">
        <v>3716</v>
      </c>
    </row>
    <row r="4688" spans="1:5" x14ac:dyDescent="0.25">
      <c r="A4688" s="5">
        <f>4680</f>
      </c>
      <c r="B4688" s="5" t="s">
        <v>3904</v>
      </c>
      <c r="C4688" s="5" t="s">
        <v>11</v>
      </c>
      <c r="D4688" s="5" t="s">
        <v>12</v>
      </c>
      <c r="E4688" s="5" t="s">
        <v>3716</v>
      </c>
    </row>
    <row r="4689" spans="1:5" x14ac:dyDescent="0.25">
      <c r="A4689" s="5">
        <f>4681</f>
      </c>
      <c r="B4689" s="5" t="s">
        <v>3905</v>
      </c>
      <c r="C4689" s="5" t="s">
        <v>11</v>
      </c>
      <c r="D4689" s="5" t="s">
        <v>12</v>
      </c>
      <c r="E4689" s="5" t="s">
        <v>3716</v>
      </c>
    </row>
    <row r="4690" spans="1:5" x14ac:dyDescent="0.25">
      <c r="A4690" s="5">
        <f>4682</f>
      </c>
      <c r="B4690" s="5" t="s">
        <v>3906</v>
      </c>
      <c r="C4690" s="5" t="s">
        <v>11</v>
      </c>
      <c r="D4690" s="5" t="s">
        <v>12</v>
      </c>
      <c r="E4690" s="5" t="s">
        <v>3716</v>
      </c>
    </row>
    <row r="4691" spans="1:5" x14ac:dyDescent="0.25">
      <c r="A4691" s="5">
        <f>4683</f>
      </c>
      <c r="B4691" s="5" t="s">
        <v>3907</v>
      </c>
      <c r="C4691" s="5" t="s">
        <v>11</v>
      </c>
      <c r="D4691" s="5" t="s">
        <v>12</v>
      </c>
      <c r="E4691" s="5" t="s">
        <v>3716</v>
      </c>
    </row>
    <row r="4692" spans="1:5" x14ac:dyDescent="0.25">
      <c r="A4692" s="5">
        <f>4684</f>
      </c>
      <c r="B4692" s="5" t="s">
        <v>3908</v>
      </c>
      <c r="C4692" s="5" t="s">
        <v>11</v>
      </c>
      <c r="D4692" s="5" t="s">
        <v>12</v>
      </c>
      <c r="E4692" s="5" t="s">
        <v>3716</v>
      </c>
    </row>
    <row r="4693" spans="1:5" x14ac:dyDescent="0.25">
      <c r="A4693" s="5">
        <f>4685</f>
      </c>
      <c r="B4693" s="5" t="s">
        <v>3909</v>
      </c>
      <c r="C4693" s="5" t="s">
        <v>11</v>
      </c>
      <c r="D4693" s="5" t="s">
        <v>12</v>
      </c>
      <c r="E4693" s="5" t="s">
        <v>3716</v>
      </c>
    </row>
    <row r="4694" spans="1:5" x14ac:dyDescent="0.25">
      <c r="A4694" s="5">
        <f>4686</f>
      </c>
      <c r="B4694" s="5" t="s">
        <v>3910</v>
      </c>
      <c r="C4694" s="5" t="s">
        <v>11</v>
      </c>
      <c r="D4694" s="5" t="s">
        <v>12</v>
      </c>
      <c r="E4694" s="5" t="s">
        <v>3716</v>
      </c>
    </row>
    <row r="4695" spans="1:5" x14ac:dyDescent="0.25">
      <c r="A4695" s="5">
        <f>4687</f>
      </c>
      <c r="B4695" s="5" t="s">
        <v>3911</v>
      </c>
      <c r="C4695" s="5" t="s">
        <v>11</v>
      </c>
      <c r="D4695" s="5" t="s">
        <v>12</v>
      </c>
      <c r="E4695" s="5" t="s">
        <v>3716</v>
      </c>
    </row>
    <row r="4696" spans="1:5" x14ac:dyDescent="0.25">
      <c r="A4696" s="5">
        <f>4688</f>
      </c>
      <c r="B4696" s="5" t="s">
        <v>3912</v>
      </c>
      <c r="C4696" s="5" t="s">
        <v>11</v>
      </c>
      <c r="D4696" s="5" t="s">
        <v>12</v>
      </c>
      <c r="E4696" s="5" t="s">
        <v>2641</v>
      </c>
    </row>
    <row r="4697" spans="1:5" x14ac:dyDescent="0.25">
      <c r="A4697" s="5">
        <f>4689</f>
      </c>
      <c r="B4697" s="5" t="s">
        <v>3913</v>
      </c>
      <c r="C4697" s="5" t="s">
        <v>11</v>
      </c>
      <c r="D4697" s="5" t="s">
        <v>12</v>
      </c>
      <c r="E4697" s="5" t="s">
        <v>2641</v>
      </c>
    </row>
    <row r="4698" spans="1:5" x14ac:dyDescent="0.25">
      <c r="A4698" s="5">
        <f>4690</f>
      </c>
      <c r="B4698" s="5" t="s">
        <v>3914</v>
      </c>
      <c r="C4698" s="5" t="s">
        <v>11</v>
      </c>
      <c r="D4698" s="5" t="s">
        <v>12</v>
      </c>
      <c r="E4698" s="5" t="s">
        <v>2641</v>
      </c>
    </row>
    <row r="4699" spans="1:5" x14ac:dyDescent="0.25">
      <c r="A4699" s="5">
        <f>4691</f>
      </c>
      <c r="B4699" s="5" t="s">
        <v>3915</v>
      </c>
      <c r="C4699" s="5" t="s">
        <v>11</v>
      </c>
      <c r="D4699" s="5" t="s">
        <v>12</v>
      </c>
      <c r="E4699" s="5" t="s">
        <v>2641</v>
      </c>
    </row>
    <row r="4700" spans="1:5" x14ac:dyDescent="0.25">
      <c r="A4700" s="5">
        <f>4692</f>
      </c>
      <c r="B4700" s="5" t="s">
        <v>3916</v>
      </c>
      <c r="C4700" s="5" t="s">
        <v>11</v>
      </c>
      <c r="D4700" s="5" t="s">
        <v>12</v>
      </c>
      <c r="E4700" s="5" t="s">
        <v>2641</v>
      </c>
    </row>
    <row r="4701" spans="1:5" x14ac:dyDescent="0.25">
      <c r="A4701" s="5">
        <f>4693</f>
      </c>
      <c r="B4701" s="5" t="s">
        <v>3917</v>
      </c>
      <c r="C4701" s="5" t="s">
        <v>11</v>
      </c>
      <c r="D4701" s="5" t="s">
        <v>12</v>
      </c>
      <c r="E4701" s="5" t="s">
        <v>2641</v>
      </c>
    </row>
    <row r="4702" spans="1:5" x14ac:dyDescent="0.25">
      <c r="A4702" s="5">
        <f>4694</f>
      </c>
      <c r="B4702" s="5" t="s">
        <v>3918</v>
      </c>
      <c r="C4702" s="5" t="s">
        <v>11</v>
      </c>
      <c r="D4702" s="5" t="s">
        <v>12</v>
      </c>
      <c r="E4702" s="5" t="s">
        <v>2641</v>
      </c>
    </row>
    <row r="4703" spans="1:5" x14ac:dyDescent="0.25">
      <c r="A4703" s="5">
        <f>4695</f>
      </c>
      <c r="B4703" s="5" t="s">
        <v>3919</v>
      </c>
      <c r="C4703" s="5" t="s">
        <v>11</v>
      </c>
      <c r="D4703" s="5" t="s">
        <v>12</v>
      </c>
      <c r="E4703" s="5" t="s">
        <v>2641</v>
      </c>
    </row>
    <row r="4704" spans="1:5" x14ac:dyDescent="0.25">
      <c r="A4704" s="5">
        <f>4696</f>
      </c>
      <c r="B4704" s="5" t="s">
        <v>3920</v>
      </c>
      <c r="C4704" s="5" t="s">
        <v>11</v>
      </c>
      <c r="D4704" s="5" t="s">
        <v>12</v>
      </c>
      <c r="E4704" s="5" t="s">
        <v>2381</v>
      </c>
    </row>
    <row r="4705" spans="1:5" x14ac:dyDescent="0.25">
      <c r="A4705" s="5">
        <f>4697</f>
      </c>
      <c r="B4705" s="5" t="s">
        <v>3921</v>
      </c>
      <c r="C4705" s="5" t="s">
        <v>11</v>
      </c>
      <c r="D4705" s="5" t="s">
        <v>12</v>
      </c>
      <c r="E4705" s="5" t="s">
        <v>3922</v>
      </c>
    </row>
    <row r="4706" spans="1:5" x14ac:dyDescent="0.25">
      <c r="A4706" s="5">
        <f>4698</f>
      </c>
      <c r="B4706" s="5" t="s">
        <v>3923</v>
      </c>
      <c r="C4706" s="5" t="s">
        <v>11</v>
      </c>
      <c r="D4706" s="5" t="s">
        <v>12</v>
      </c>
      <c r="E4706" s="5" t="s">
        <v>3924</v>
      </c>
    </row>
    <row r="4707" spans="1:5" x14ac:dyDescent="0.25">
      <c r="A4707" s="5">
        <f>4699</f>
      </c>
      <c r="B4707" s="5" t="s">
        <v>3925</v>
      </c>
      <c r="C4707" s="5" t="s">
        <v>11</v>
      </c>
      <c r="D4707" s="5" t="s">
        <v>12</v>
      </c>
      <c r="E4707" s="5" t="s">
        <v>1036</v>
      </c>
    </row>
    <row r="4708" spans="1:5" x14ac:dyDescent="0.25">
      <c r="A4708" s="5">
        <f>4700</f>
      </c>
      <c r="B4708" s="5" t="s">
        <v>3926</v>
      </c>
      <c r="C4708" s="5" t="s">
        <v>11</v>
      </c>
      <c r="D4708" s="5" t="s">
        <v>12</v>
      </c>
      <c r="E4708" s="5" t="s">
        <v>3927</v>
      </c>
    </row>
    <row r="4709" spans="1:5" x14ac:dyDescent="0.25">
      <c r="A4709" s="5">
        <f>4701</f>
      </c>
      <c r="B4709" s="5" t="s">
        <v>3928</v>
      </c>
      <c r="C4709" s="5" t="s">
        <v>11</v>
      </c>
      <c r="D4709" s="5" t="s">
        <v>12</v>
      </c>
      <c r="E4709" s="5" t="s">
        <v>2881</v>
      </c>
    </row>
    <row r="4710" spans="1:5" x14ac:dyDescent="0.25">
      <c r="A4710" s="5">
        <f>4702</f>
      </c>
      <c r="B4710" s="5" t="s">
        <v>3929</v>
      </c>
      <c r="C4710" s="5" t="s">
        <v>11</v>
      </c>
      <c r="D4710" s="5" t="s">
        <v>12</v>
      </c>
      <c r="E4710" s="5" t="s">
        <v>3692</v>
      </c>
    </row>
    <row r="4711" spans="1:5" x14ac:dyDescent="0.25">
      <c r="A4711" s="5">
        <f>4703</f>
      </c>
      <c r="B4711" s="5" t="s">
        <v>3930</v>
      </c>
      <c r="C4711" s="5" t="s">
        <v>11</v>
      </c>
      <c r="D4711" s="5" t="s">
        <v>12</v>
      </c>
      <c r="E4711" s="5" t="s">
        <v>3754</v>
      </c>
    </row>
    <row r="4712" spans="1:5" x14ac:dyDescent="0.25">
      <c r="A4712" s="5">
        <f>4704</f>
      </c>
      <c r="B4712" s="5" t="s">
        <v>3931</v>
      </c>
      <c r="C4712" s="5" t="s">
        <v>11</v>
      </c>
      <c r="D4712" s="5" t="s">
        <v>12</v>
      </c>
      <c r="E4712" s="5" t="s">
        <v>3932</v>
      </c>
    </row>
    <row r="4713" spans="1:5" x14ac:dyDescent="0.25">
      <c r="A4713" s="5">
        <f>4705</f>
      </c>
      <c r="B4713" s="5" t="s">
        <v>3933</v>
      </c>
      <c r="C4713" s="5" t="s">
        <v>11</v>
      </c>
      <c r="D4713" s="5" t="s">
        <v>12</v>
      </c>
      <c r="E4713" s="5" t="s">
        <v>930</v>
      </c>
    </row>
    <row r="4714" spans="1:5" x14ac:dyDescent="0.25">
      <c r="A4714" s="5">
        <f>4706</f>
      </c>
      <c r="B4714" s="5" t="s">
        <v>3934</v>
      </c>
      <c r="C4714" s="5" t="s">
        <v>11</v>
      </c>
      <c r="D4714" s="5" t="s">
        <v>12</v>
      </c>
      <c r="E4714" s="5" t="s">
        <v>2398</v>
      </c>
    </row>
    <row r="4715" spans="1:5" x14ac:dyDescent="0.25">
      <c r="A4715" s="5">
        <f>4707</f>
      </c>
      <c r="B4715" s="5" t="s">
        <v>3935</v>
      </c>
      <c r="C4715" s="5" t="s">
        <v>11</v>
      </c>
      <c r="D4715" s="5" t="s">
        <v>12</v>
      </c>
      <c r="E4715" s="5" t="s">
        <v>2247</v>
      </c>
    </row>
    <row r="4716" spans="1:5" x14ac:dyDescent="0.25">
      <c r="A4716" s="5">
        <f>4708</f>
      </c>
      <c r="B4716" s="5" t="s">
        <v>3936</v>
      </c>
      <c r="C4716" s="5" t="s">
        <v>11</v>
      </c>
      <c r="D4716" s="5" t="s">
        <v>12</v>
      </c>
      <c r="E4716" s="5" t="s">
        <v>2823</v>
      </c>
    </row>
    <row r="4717" spans="1:5" x14ac:dyDescent="0.25">
      <c r="A4717" s="5">
        <f>4709</f>
      </c>
      <c r="B4717" s="5" t="s">
        <v>3937</v>
      </c>
      <c r="C4717" s="5" t="s">
        <v>11</v>
      </c>
      <c r="D4717" s="5" t="s">
        <v>12</v>
      </c>
      <c r="E4717" s="5" t="s">
        <v>2823</v>
      </c>
    </row>
    <row r="4718" spans="1:5" x14ac:dyDescent="0.25">
      <c r="A4718" s="5">
        <f>4710</f>
      </c>
      <c r="B4718" s="5" t="s">
        <v>3938</v>
      </c>
      <c r="C4718" s="5" t="s">
        <v>11</v>
      </c>
      <c r="D4718" s="5" t="s">
        <v>12</v>
      </c>
      <c r="E4718" s="5" t="s">
        <v>2823</v>
      </c>
    </row>
    <row r="4719" spans="1:5" x14ac:dyDescent="0.25">
      <c r="A4719" s="5">
        <f>4711</f>
      </c>
      <c r="B4719" s="5" t="s">
        <v>3939</v>
      </c>
      <c r="C4719" s="5" t="s">
        <v>11</v>
      </c>
      <c r="D4719" s="5" t="s">
        <v>12</v>
      </c>
      <c r="E4719" s="5" t="s">
        <v>2823</v>
      </c>
    </row>
    <row r="4720" spans="1:5" x14ac:dyDescent="0.25">
      <c r="A4720" s="5">
        <f>4712</f>
      </c>
      <c r="B4720" s="5" t="s">
        <v>3940</v>
      </c>
      <c r="C4720" s="5" t="s">
        <v>11</v>
      </c>
      <c r="D4720" s="5" t="s">
        <v>12</v>
      </c>
      <c r="E4720" s="5" t="s">
        <v>2823</v>
      </c>
    </row>
    <row r="4721" spans="1:5" x14ac:dyDescent="0.25">
      <c r="A4721" s="5">
        <f>4713</f>
      </c>
      <c r="B4721" s="5" t="s">
        <v>3941</v>
      </c>
      <c r="C4721" s="5" t="s">
        <v>11</v>
      </c>
      <c r="D4721" s="5" t="s">
        <v>12</v>
      </c>
      <c r="E4721" s="5" t="s">
        <v>2823</v>
      </c>
    </row>
    <row r="4722" spans="1:5" x14ac:dyDescent="0.25">
      <c r="A4722" s="5">
        <f>4714</f>
      </c>
      <c r="B4722" s="5" t="s">
        <v>3942</v>
      </c>
      <c r="C4722" s="5" t="s">
        <v>11</v>
      </c>
      <c r="D4722" s="5" t="s">
        <v>12</v>
      </c>
      <c r="E4722" s="5" t="s">
        <v>2823</v>
      </c>
    </row>
    <row r="4723" spans="1:5" x14ac:dyDescent="0.25">
      <c r="A4723" s="5">
        <f>4715</f>
      </c>
      <c r="B4723" s="5" t="s">
        <v>3943</v>
      </c>
      <c r="C4723" s="5" t="s">
        <v>11</v>
      </c>
      <c r="D4723" s="5" t="s">
        <v>12</v>
      </c>
      <c r="E4723" s="5" t="s">
        <v>2823</v>
      </c>
    </row>
    <row r="4724" spans="1:5" x14ac:dyDescent="0.25">
      <c r="A4724" s="5">
        <f>4716</f>
      </c>
      <c r="B4724" s="5" t="s">
        <v>3944</v>
      </c>
      <c r="C4724" s="5" t="s">
        <v>11</v>
      </c>
      <c r="D4724" s="5" t="s">
        <v>12</v>
      </c>
      <c r="E4724" s="5" t="s">
        <v>2823</v>
      </c>
    </row>
    <row r="4725" spans="1:5" x14ac:dyDescent="0.25">
      <c r="A4725" s="5">
        <f>4717</f>
      </c>
      <c r="B4725" s="5" t="s">
        <v>3945</v>
      </c>
      <c r="C4725" s="5" t="s">
        <v>11</v>
      </c>
      <c r="D4725" s="5" t="s">
        <v>12</v>
      </c>
      <c r="E4725" s="5" t="s">
        <v>2823</v>
      </c>
    </row>
    <row r="4726" spans="1:5" x14ac:dyDescent="0.25">
      <c r="A4726" s="5">
        <f>4718</f>
      </c>
      <c r="B4726" s="5" t="s">
        <v>3946</v>
      </c>
      <c r="C4726" s="5" t="s">
        <v>11</v>
      </c>
      <c r="D4726" s="5" t="s">
        <v>12</v>
      </c>
      <c r="E4726" s="5" t="s">
        <v>2823</v>
      </c>
    </row>
    <row r="4727" spans="1:5" x14ac:dyDescent="0.25">
      <c r="A4727" s="5">
        <f>4719</f>
      </c>
      <c r="B4727" s="5" t="s">
        <v>3947</v>
      </c>
      <c r="C4727" s="5" t="s">
        <v>11</v>
      </c>
      <c r="D4727" s="5" t="s">
        <v>12</v>
      </c>
      <c r="E4727" s="5" t="s">
        <v>2823</v>
      </c>
    </row>
    <row r="4728" spans="1:5" x14ac:dyDescent="0.25">
      <c r="A4728" s="5">
        <f>4720</f>
      </c>
      <c r="B4728" s="5" t="s">
        <v>3948</v>
      </c>
      <c r="C4728" s="5" t="s">
        <v>11</v>
      </c>
      <c r="D4728" s="5" t="s">
        <v>12</v>
      </c>
      <c r="E4728" s="5" t="s">
        <v>2823</v>
      </c>
    </row>
    <row r="4729" spans="1:5" x14ac:dyDescent="0.25">
      <c r="A4729" s="5">
        <f>4721</f>
      </c>
      <c r="B4729" s="5" t="s">
        <v>3949</v>
      </c>
      <c r="C4729" s="5" t="s">
        <v>11</v>
      </c>
      <c r="D4729" s="5" t="s">
        <v>12</v>
      </c>
      <c r="E4729" s="5" t="s">
        <v>2823</v>
      </c>
    </row>
    <row r="4730" spans="1:5" x14ac:dyDescent="0.25">
      <c r="A4730" s="5">
        <f>4722</f>
      </c>
      <c r="B4730" s="5" t="s">
        <v>3950</v>
      </c>
      <c r="C4730" s="5" t="s">
        <v>11</v>
      </c>
      <c r="D4730" s="5" t="s">
        <v>12</v>
      </c>
      <c r="E4730" s="5" t="s">
        <v>2823</v>
      </c>
    </row>
    <row r="4731" spans="1:5" x14ac:dyDescent="0.25">
      <c r="A4731" s="5">
        <f>4723</f>
      </c>
      <c r="B4731" s="5" t="s">
        <v>3951</v>
      </c>
      <c r="C4731" s="5" t="s">
        <v>11</v>
      </c>
      <c r="D4731" s="5" t="s">
        <v>12</v>
      </c>
      <c r="E4731" s="5" t="s">
        <v>3376</v>
      </c>
    </row>
    <row r="4732" spans="1:5" x14ac:dyDescent="0.25">
      <c r="A4732" s="5">
        <f>4724</f>
      </c>
      <c r="B4732" s="5" t="s">
        <v>3952</v>
      </c>
      <c r="C4732" s="5" t="s">
        <v>11</v>
      </c>
      <c r="D4732" s="5" t="s">
        <v>12</v>
      </c>
      <c r="E4732" s="5" t="s">
        <v>3688</v>
      </c>
    </row>
    <row r="4733" spans="1:5" x14ac:dyDescent="0.25">
      <c r="A4733" s="5">
        <f>4725</f>
      </c>
      <c r="B4733" s="5" t="s">
        <v>3953</v>
      </c>
      <c r="C4733" s="5" t="s">
        <v>11</v>
      </c>
      <c r="D4733" s="5" t="s">
        <v>12</v>
      </c>
      <c r="E4733" s="5" t="s">
        <v>2298</v>
      </c>
    </row>
    <row r="4734" spans="1:5" x14ac:dyDescent="0.25">
      <c r="A4734" s="5">
        <f>4726</f>
      </c>
      <c r="B4734" s="5" t="s">
        <v>3954</v>
      </c>
      <c r="C4734" s="5" t="s">
        <v>11</v>
      </c>
      <c r="D4734" s="5" t="s">
        <v>12</v>
      </c>
      <c r="E4734" s="5" t="s">
        <v>3955</v>
      </c>
    </row>
    <row r="4735" spans="1:5" x14ac:dyDescent="0.25">
      <c r="A4735" s="5">
        <f>4727</f>
      </c>
      <c r="B4735" s="5" t="s">
        <v>3956</v>
      </c>
      <c r="C4735" s="5" t="s">
        <v>11</v>
      </c>
      <c r="D4735" s="5" t="s">
        <v>12</v>
      </c>
      <c r="E4735" s="5" t="s">
        <v>3516</v>
      </c>
    </row>
    <row r="4736" spans="1:5" x14ac:dyDescent="0.25">
      <c r="A4736" s="5">
        <f>4728</f>
      </c>
      <c r="B4736" s="5" t="s">
        <v>3957</v>
      </c>
      <c r="C4736" s="5" t="s">
        <v>11</v>
      </c>
      <c r="D4736" s="5" t="s">
        <v>12</v>
      </c>
      <c r="E4736" s="5" t="s">
        <v>3958</v>
      </c>
    </row>
    <row r="4737" spans="1:5" x14ac:dyDescent="0.25">
      <c r="A4737" s="5">
        <f>4729</f>
      </c>
      <c r="B4737" s="5" t="s">
        <v>3959</v>
      </c>
      <c r="C4737" s="5" t="s">
        <v>11</v>
      </c>
      <c r="D4737" s="5" t="s">
        <v>12</v>
      </c>
      <c r="E4737" s="5" t="s">
        <v>2645</v>
      </c>
    </row>
    <row r="4738" spans="1:5" x14ac:dyDescent="0.25">
      <c r="A4738" s="5">
        <f>4730</f>
      </c>
      <c r="B4738" s="5" t="s">
        <v>3960</v>
      </c>
      <c r="C4738" s="5" t="s">
        <v>11</v>
      </c>
      <c r="D4738" s="5" t="s">
        <v>12</v>
      </c>
      <c r="E4738" s="5" t="s">
        <v>871</v>
      </c>
    </row>
    <row r="4739" spans="1:5" x14ac:dyDescent="0.25">
      <c r="A4739" s="5">
        <f>4731</f>
      </c>
      <c r="B4739" s="5" t="s">
        <v>3961</v>
      </c>
      <c r="C4739" s="5" t="s">
        <v>11</v>
      </c>
      <c r="D4739" s="5" t="s">
        <v>12</v>
      </c>
      <c r="E4739" s="5" t="s">
        <v>3962</v>
      </c>
    </row>
    <row r="4740" spans="1:5" x14ac:dyDescent="0.25">
      <c r="A4740" s="5">
        <f>4732</f>
      </c>
      <c r="B4740" s="5" t="s">
        <v>3963</v>
      </c>
      <c r="C4740" s="5" t="s">
        <v>11</v>
      </c>
      <c r="D4740" s="5" t="s">
        <v>12</v>
      </c>
      <c r="E4740" s="5" t="s">
        <v>3962</v>
      </c>
    </row>
    <row r="4741" spans="1:5" x14ac:dyDescent="0.25">
      <c r="A4741" s="5">
        <f>4733</f>
      </c>
      <c r="B4741" s="5" t="s">
        <v>3964</v>
      </c>
      <c r="C4741" s="5" t="s">
        <v>11</v>
      </c>
      <c r="D4741" s="5" t="s">
        <v>12</v>
      </c>
      <c r="E4741" s="5" t="s">
        <v>3962</v>
      </c>
    </row>
    <row r="4742" spans="1:5" x14ac:dyDescent="0.25">
      <c r="A4742" s="5">
        <f>4734</f>
      </c>
      <c r="B4742" s="5" t="s">
        <v>3965</v>
      </c>
      <c r="C4742" s="5" t="s">
        <v>11</v>
      </c>
      <c r="D4742" s="5" t="s">
        <v>12</v>
      </c>
      <c r="E4742" s="5" t="s">
        <v>3962</v>
      </c>
    </row>
    <row r="4743" spans="1:5" x14ac:dyDescent="0.25">
      <c r="A4743" s="5">
        <f>4735</f>
      </c>
      <c r="B4743" s="5" t="s">
        <v>3966</v>
      </c>
      <c r="C4743" s="5" t="s">
        <v>11</v>
      </c>
      <c r="D4743" s="5" t="s">
        <v>12</v>
      </c>
      <c r="E4743" s="5" t="s">
        <v>3962</v>
      </c>
    </row>
    <row r="4744" spans="1:5" x14ac:dyDescent="0.25">
      <c r="A4744" s="5">
        <f>4736</f>
      </c>
      <c r="B4744" s="5" t="s">
        <v>3967</v>
      </c>
      <c r="C4744" s="5" t="s">
        <v>11</v>
      </c>
      <c r="D4744" s="5" t="s">
        <v>12</v>
      </c>
      <c r="E4744" s="5" t="s">
        <v>3962</v>
      </c>
    </row>
    <row r="4745" spans="1:5" x14ac:dyDescent="0.25">
      <c r="A4745" s="5">
        <f>4737</f>
      </c>
      <c r="B4745" s="5" t="s">
        <v>3968</v>
      </c>
      <c r="C4745" s="5" t="s">
        <v>11</v>
      </c>
      <c r="D4745" s="5" t="s">
        <v>12</v>
      </c>
      <c r="E4745" s="5" t="s">
        <v>3962</v>
      </c>
    </row>
    <row r="4746" spans="1:5" x14ac:dyDescent="0.25">
      <c r="A4746" s="5">
        <f>4738</f>
      </c>
      <c r="B4746" s="5" t="s">
        <v>3969</v>
      </c>
      <c r="C4746" s="5" t="s">
        <v>11</v>
      </c>
      <c r="D4746" s="5" t="s">
        <v>12</v>
      </c>
      <c r="E4746" s="5" t="s">
        <v>3962</v>
      </c>
    </row>
    <row r="4747" spans="1:5" x14ac:dyDescent="0.25">
      <c r="A4747" s="5">
        <f>4739</f>
      </c>
      <c r="B4747" s="5" t="s">
        <v>3970</v>
      </c>
      <c r="C4747" s="5" t="s">
        <v>11</v>
      </c>
      <c r="D4747" s="5" t="s">
        <v>12</v>
      </c>
      <c r="E4747" s="5" t="s">
        <v>3962</v>
      </c>
    </row>
    <row r="4748" spans="1:5" x14ac:dyDescent="0.25">
      <c r="A4748" s="5">
        <f>4740</f>
      </c>
      <c r="B4748" s="5" t="s">
        <v>3971</v>
      </c>
      <c r="C4748" s="5" t="s">
        <v>11</v>
      </c>
      <c r="D4748" s="5" t="s">
        <v>12</v>
      </c>
      <c r="E4748" s="5" t="s">
        <v>3962</v>
      </c>
    </row>
    <row r="4749" spans="1:5" x14ac:dyDescent="0.25">
      <c r="A4749" s="5">
        <f>4741</f>
      </c>
      <c r="B4749" s="5" t="s">
        <v>3972</v>
      </c>
      <c r="C4749" s="5" t="s">
        <v>11</v>
      </c>
      <c r="D4749" s="5" t="s">
        <v>12</v>
      </c>
      <c r="E4749" s="5" t="s">
        <v>3962</v>
      </c>
    </row>
    <row r="4750" spans="1:5" x14ac:dyDescent="0.25">
      <c r="A4750" s="5">
        <f>4742</f>
      </c>
      <c r="B4750" s="5" t="s">
        <v>3973</v>
      </c>
      <c r="C4750" s="5" t="s">
        <v>11</v>
      </c>
      <c r="D4750" s="5" t="s">
        <v>12</v>
      </c>
      <c r="E4750" s="5" t="s">
        <v>3962</v>
      </c>
    </row>
    <row r="4751" spans="1:5" x14ac:dyDescent="0.25">
      <c r="A4751" s="5">
        <f>4743</f>
      </c>
      <c r="B4751" s="5" t="s">
        <v>3974</v>
      </c>
      <c r="C4751" s="5" t="s">
        <v>11</v>
      </c>
      <c r="D4751" s="5" t="s">
        <v>12</v>
      </c>
      <c r="E4751" s="5" t="s">
        <v>3962</v>
      </c>
    </row>
    <row r="4752" spans="1:5" x14ac:dyDescent="0.25">
      <c r="A4752" s="5">
        <f>4744</f>
      </c>
      <c r="B4752" s="5" t="s">
        <v>3975</v>
      </c>
      <c r="C4752" s="5" t="s">
        <v>11</v>
      </c>
      <c r="D4752" s="5" t="s">
        <v>12</v>
      </c>
      <c r="E4752" s="5" t="s">
        <v>3962</v>
      </c>
    </row>
    <row r="4753" spans="1:5" x14ac:dyDescent="0.25">
      <c r="A4753" s="5">
        <f>4745</f>
      </c>
      <c r="B4753" s="5" t="s">
        <v>3976</v>
      </c>
      <c r="C4753" s="5" t="s">
        <v>11</v>
      </c>
      <c r="D4753" s="5" t="s">
        <v>12</v>
      </c>
      <c r="E4753" s="5" t="s">
        <v>3962</v>
      </c>
    </row>
    <row r="4754" spans="1:5" x14ac:dyDescent="0.25">
      <c r="A4754" s="5">
        <f>4746</f>
      </c>
      <c r="B4754" s="5" t="s">
        <v>3977</v>
      </c>
      <c r="C4754" s="5" t="s">
        <v>11</v>
      </c>
      <c r="D4754" s="5" t="s">
        <v>12</v>
      </c>
      <c r="E4754" s="5" t="s">
        <v>3962</v>
      </c>
    </row>
    <row r="4755" spans="1:5" x14ac:dyDescent="0.25">
      <c r="A4755" s="5">
        <f>4747</f>
      </c>
      <c r="B4755" s="5" t="s">
        <v>3978</v>
      </c>
      <c r="C4755" s="5" t="s">
        <v>11</v>
      </c>
      <c r="D4755" s="5" t="s">
        <v>12</v>
      </c>
      <c r="E4755" s="5" t="s">
        <v>3962</v>
      </c>
    </row>
    <row r="4756" spans="1:5" x14ac:dyDescent="0.25">
      <c r="A4756" s="5">
        <f>4748</f>
      </c>
      <c r="B4756" s="5" t="s">
        <v>3979</v>
      </c>
      <c r="C4756" s="5" t="s">
        <v>11</v>
      </c>
      <c r="D4756" s="5" t="s">
        <v>12</v>
      </c>
      <c r="E4756" s="5" t="s">
        <v>3962</v>
      </c>
    </row>
    <row r="4757" spans="1:5" x14ac:dyDescent="0.25">
      <c r="A4757" s="5">
        <f>4749</f>
      </c>
      <c r="B4757" s="5" t="s">
        <v>3980</v>
      </c>
      <c r="C4757" s="5" t="s">
        <v>11</v>
      </c>
      <c r="D4757" s="5" t="s">
        <v>12</v>
      </c>
      <c r="E4757" s="5" t="s">
        <v>3962</v>
      </c>
    </row>
    <row r="4758" spans="1:5" x14ac:dyDescent="0.25">
      <c r="A4758" s="5">
        <f>4750</f>
      </c>
      <c r="B4758" s="5" t="s">
        <v>3981</v>
      </c>
      <c r="C4758" s="5" t="s">
        <v>11</v>
      </c>
      <c r="D4758" s="5" t="s">
        <v>12</v>
      </c>
      <c r="E4758" s="5" t="s">
        <v>3962</v>
      </c>
    </row>
    <row r="4759" spans="1:5" x14ac:dyDescent="0.25">
      <c r="A4759" s="5">
        <f>4751</f>
      </c>
      <c r="B4759" s="5" t="s">
        <v>3982</v>
      </c>
      <c r="C4759" s="5" t="s">
        <v>11</v>
      </c>
      <c r="D4759" s="5" t="s">
        <v>12</v>
      </c>
      <c r="E4759" s="5" t="s">
        <v>3962</v>
      </c>
    </row>
    <row r="4760" spans="1:5" x14ac:dyDescent="0.25">
      <c r="A4760" s="5">
        <f>4752</f>
      </c>
      <c r="B4760" s="5" t="s">
        <v>3983</v>
      </c>
      <c r="C4760" s="5" t="s">
        <v>11</v>
      </c>
      <c r="D4760" s="5" t="s">
        <v>12</v>
      </c>
      <c r="E4760" s="5" t="s">
        <v>3962</v>
      </c>
    </row>
    <row r="4761" spans="1:5" x14ac:dyDescent="0.25">
      <c r="A4761" s="5">
        <f>4753</f>
      </c>
      <c r="B4761" s="5" t="s">
        <v>3984</v>
      </c>
      <c r="C4761" s="5" t="s">
        <v>11</v>
      </c>
      <c r="D4761" s="5" t="s">
        <v>12</v>
      </c>
      <c r="E4761" s="5" t="s">
        <v>3962</v>
      </c>
    </row>
    <row r="4762" spans="1:5" x14ac:dyDescent="0.25">
      <c r="A4762" s="5">
        <f>4754</f>
      </c>
      <c r="B4762" s="5" t="s">
        <v>3985</v>
      </c>
      <c r="C4762" s="5" t="s">
        <v>11</v>
      </c>
      <c r="D4762" s="5" t="s">
        <v>12</v>
      </c>
      <c r="E4762" s="5" t="s">
        <v>3962</v>
      </c>
    </row>
    <row r="4763" spans="1:5" x14ac:dyDescent="0.25">
      <c r="A4763" s="5">
        <f>4755</f>
      </c>
      <c r="B4763" s="5" t="s">
        <v>3986</v>
      </c>
      <c r="C4763" s="5" t="s">
        <v>11</v>
      </c>
      <c r="D4763" s="5" t="s">
        <v>12</v>
      </c>
      <c r="E4763" s="5" t="s">
        <v>3962</v>
      </c>
    </row>
    <row r="4764" spans="1:5" x14ac:dyDescent="0.25">
      <c r="A4764" s="5">
        <f>4756</f>
      </c>
      <c r="B4764" s="5" t="s">
        <v>3987</v>
      </c>
      <c r="C4764" s="5" t="s">
        <v>11</v>
      </c>
      <c r="D4764" s="5" t="s">
        <v>12</v>
      </c>
      <c r="E4764" s="5" t="s">
        <v>3962</v>
      </c>
    </row>
    <row r="4765" spans="1:5" x14ac:dyDescent="0.25">
      <c r="A4765" s="5">
        <f>4757</f>
      </c>
      <c r="B4765" s="5" t="s">
        <v>3988</v>
      </c>
      <c r="C4765" s="5" t="s">
        <v>11</v>
      </c>
      <c r="D4765" s="5" t="s">
        <v>12</v>
      </c>
      <c r="E4765" s="5" t="s">
        <v>3962</v>
      </c>
    </row>
    <row r="4766" spans="1:5" x14ac:dyDescent="0.25">
      <c r="A4766" s="5">
        <f>4758</f>
      </c>
      <c r="B4766" s="5" t="s">
        <v>3989</v>
      </c>
      <c r="C4766" s="5" t="s">
        <v>11</v>
      </c>
      <c r="D4766" s="5" t="s">
        <v>12</v>
      </c>
      <c r="E4766" s="5" t="s">
        <v>3962</v>
      </c>
    </row>
    <row r="4767" spans="1:5" x14ac:dyDescent="0.25">
      <c r="A4767" s="5">
        <f>4759</f>
      </c>
      <c r="B4767" s="5" t="s">
        <v>3990</v>
      </c>
      <c r="C4767" s="5" t="s">
        <v>11</v>
      </c>
      <c r="D4767" s="5" t="s">
        <v>12</v>
      </c>
      <c r="E4767" s="5" t="s">
        <v>3962</v>
      </c>
    </row>
    <row r="4768" spans="1:5" x14ac:dyDescent="0.25">
      <c r="A4768" s="5">
        <f>4760</f>
      </c>
      <c r="B4768" s="5" t="s">
        <v>3991</v>
      </c>
      <c r="C4768" s="5" t="s">
        <v>11</v>
      </c>
      <c r="D4768" s="5" t="s">
        <v>12</v>
      </c>
      <c r="E4768" s="5" t="s">
        <v>3962</v>
      </c>
    </row>
    <row r="4769" spans="1:5" x14ac:dyDescent="0.25">
      <c r="A4769" s="5">
        <f>4761</f>
      </c>
      <c r="B4769" s="5" t="s">
        <v>3992</v>
      </c>
      <c r="C4769" s="5" t="s">
        <v>11</v>
      </c>
      <c r="D4769" s="5" t="s">
        <v>12</v>
      </c>
      <c r="E4769" s="5" t="s">
        <v>3962</v>
      </c>
    </row>
    <row r="4770" spans="1:5" x14ac:dyDescent="0.25">
      <c r="A4770" s="5">
        <f>4762</f>
      </c>
      <c r="B4770" s="5" t="s">
        <v>3993</v>
      </c>
      <c r="C4770" s="5" t="s">
        <v>11</v>
      </c>
      <c r="D4770" s="5" t="s">
        <v>12</v>
      </c>
      <c r="E4770" s="5" t="s">
        <v>3962</v>
      </c>
    </row>
    <row r="4771" spans="1:5" x14ac:dyDescent="0.25">
      <c r="A4771" s="5">
        <f>4763</f>
      </c>
      <c r="B4771" s="5" t="s">
        <v>3994</v>
      </c>
      <c r="C4771" s="5" t="s">
        <v>11</v>
      </c>
      <c r="D4771" s="5" t="s">
        <v>12</v>
      </c>
      <c r="E4771" s="5" t="s">
        <v>3962</v>
      </c>
    </row>
    <row r="4772" spans="1:5" x14ac:dyDescent="0.25">
      <c r="A4772" s="5">
        <f>4764</f>
      </c>
      <c r="B4772" s="5" t="s">
        <v>3995</v>
      </c>
      <c r="C4772" s="5" t="s">
        <v>11</v>
      </c>
      <c r="D4772" s="5" t="s">
        <v>12</v>
      </c>
      <c r="E4772" s="5" t="s">
        <v>3962</v>
      </c>
    </row>
    <row r="4773" spans="1:5" x14ac:dyDescent="0.25">
      <c r="A4773" s="5">
        <f>4765</f>
      </c>
      <c r="B4773" s="5" t="s">
        <v>3996</v>
      </c>
      <c r="C4773" s="5" t="s">
        <v>11</v>
      </c>
      <c r="D4773" s="5" t="s">
        <v>12</v>
      </c>
      <c r="E4773" s="5" t="s">
        <v>3962</v>
      </c>
    </row>
    <row r="4774" spans="1:5" x14ac:dyDescent="0.25">
      <c r="A4774" s="5">
        <f>4766</f>
      </c>
      <c r="B4774" s="5" t="s">
        <v>3997</v>
      </c>
      <c r="C4774" s="5" t="s">
        <v>11</v>
      </c>
      <c r="D4774" s="5" t="s">
        <v>12</v>
      </c>
      <c r="E4774" s="5" t="s">
        <v>3962</v>
      </c>
    </row>
    <row r="4775" spans="1:5" x14ac:dyDescent="0.25">
      <c r="A4775" s="5">
        <f>4767</f>
      </c>
      <c r="B4775" s="5" t="s">
        <v>3998</v>
      </c>
      <c r="C4775" s="5" t="s">
        <v>11</v>
      </c>
      <c r="D4775" s="5" t="s">
        <v>12</v>
      </c>
      <c r="E4775" s="5" t="s">
        <v>3962</v>
      </c>
    </row>
    <row r="4776" spans="1:5" x14ac:dyDescent="0.25">
      <c r="A4776" s="5">
        <f>4768</f>
      </c>
      <c r="B4776" s="5" t="s">
        <v>3999</v>
      </c>
      <c r="C4776" s="5" t="s">
        <v>11</v>
      </c>
      <c r="D4776" s="5" t="s">
        <v>12</v>
      </c>
      <c r="E4776" s="5" t="s">
        <v>3962</v>
      </c>
    </row>
    <row r="4777" spans="1:5" x14ac:dyDescent="0.25">
      <c r="A4777" s="5">
        <f>4769</f>
      </c>
      <c r="B4777" s="5" t="s">
        <v>4000</v>
      </c>
      <c r="C4777" s="5" t="s">
        <v>11</v>
      </c>
      <c r="D4777" s="5" t="s">
        <v>12</v>
      </c>
      <c r="E4777" s="5" t="s">
        <v>3962</v>
      </c>
    </row>
    <row r="4778" spans="1:5" x14ac:dyDescent="0.25">
      <c r="A4778" s="5">
        <f>4770</f>
      </c>
      <c r="B4778" s="5" t="s">
        <v>4001</v>
      </c>
      <c r="C4778" s="5" t="s">
        <v>11</v>
      </c>
      <c r="D4778" s="5" t="s">
        <v>12</v>
      </c>
      <c r="E4778" s="5" t="s">
        <v>3962</v>
      </c>
    </row>
    <row r="4779" spans="1:5" x14ac:dyDescent="0.25">
      <c r="A4779" s="5">
        <f>4771</f>
      </c>
      <c r="B4779" s="5" t="s">
        <v>4002</v>
      </c>
      <c r="C4779" s="5" t="s">
        <v>11</v>
      </c>
      <c r="D4779" s="5" t="s">
        <v>12</v>
      </c>
      <c r="E4779" s="5" t="s">
        <v>3962</v>
      </c>
    </row>
    <row r="4780" spans="1:5" x14ac:dyDescent="0.25">
      <c r="A4780" s="5">
        <f>4772</f>
      </c>
      <c r="B4780" s="5" t="s">
        <v>4003</v>
      </c>
      <c r="C4780" s="5" t="s">
        <v>11</v>
      </c>
      <c r="D4780" s="5" t="s">
        <v>12</v>
      </c>
      <c r="E4780" s="5" t="s">
        <v>3962</v>
      </c>
    </row>
    <row r="4781" spans="1:5" x14ac:dyDescent="0.25">
      <c r="A4781" s="5">
        <f>4773</f>
      </c>
      <c r="B4781" s="5" t="s">
        <v>4004</v>
      </c>
      <c r="C4781" s="5" t="s">
        <v>11</v>
      </c>
      <c r="D4781" s="5" t="s">
        <v>12</v>
      </c>
      <c r="E4781" s="5" t="s">
        <v>3962</v>
      </c>
    </row>
    <row r="4782" spans="1:5" x14ac:dyDescent="0.25">
      <c r="A4782" s="5">
        <f>4774</f>
      </c>
      <c r="B4782" s="5" t="s">
        <v>4005</v>
      </c>
      <c r="C4782" s="5" t="s">
        <v>11</v>
      </c>
      <c r="D4782" s="5" t="s">
        <v>12</v>
      </c>
      <c r="E4782" s="5" t="s">
        <v>3962</v>
      </c>
    </row>
    <row r="4783" spans="1:5" x14ac:dyDescent="0.25">
      <c r="A4783" s="5">
        <f>4775</f>
      </c>
      <c r="B4783" s="5" t="s">
        <v>4006</v>
      </c>
      <c r="C4783" s="5" t="s">
        <v>11</v>
      </c>
      <c r="D4783" s="5" t="s">
        <v>12</v>
      </c>
      <c r="E4783" s="5" t="s">
        <v>3962</v>
      </c>
    </row>
    <row r="4784" spans="1:5" x14ac:dyDescent="0.25">
      <c r="A4784" s="5">
        <f>4776</f>
      </c>
      <c r="B4784" s="5" t="s">
        <v>4007</v>
      </c>
      <c r="C4784" s="5" t="s">
        <v>11</v>
      </c>
      <c r="D4784" s="5" t="s">
        <v>12</v>
      </c>
      <c r="E4784" s="5" t="s">
        <v>3962</v>
      </c>
    </row>
    <row r="4785" spans="1:5" x14ac:dyDescent="0.25">
      <c r="A4785" s="5">
        <f>4777</f>
      </c>
      <c r="B4785" s="5" t="s">
        <v>4008</v>
      </c>
      <c r="C4785" s="5" t="s">
        <v>11</v>
      </c>
      <c r="D4785" s="5" t="s">
        <v>12</v>
      </c>
      <c r="E4785" s="5" t="s">
        <v>3962</v>
      </c>
    </row>
    <row r="4786" spans="1:5" x14ac:dyDescent="0.25">
      <c r="A4786" s="5">
        <f>4778</f>
      </c>
      <c r="B4786" s="5" t="s">
        <v>4009</v>
      </c>
      <c r="C4786" s="5" t="s">
        <v>11</v>
      </c>
      <c r="D4786" s="5" t="s">
        <v>12</v>
      </c>
      <c r="E4786" s="5" t="s">
        <v>3962</v>
      </c>
    </row>
    <row r="4787" spans="1:5" x14ac:dyDescent="0.25">
      <c r="A4787" s="5">
        <f>4779</f>
      </c>
      <c r="B4787" s="5" t="s">
        <v>4010</v>
      </c>
      <c r="C4787" s="5" t="s">
        <v>11</v>
      </c>
      <c r="D4787" s="5" t="s">
        <v>12</v>
      </c>
      <c r="E4787" s="5" t="s">
        <v>3962</v>
      </c>
    </row>
    <row r="4788" spans="1:5" x14ac:dyDescent="0.25">
      <c r="A4788" s="5">
        <f>4780</f>
      </c>
      <c r="B4788" s="5" t="s">
        <v>4011</v>
      </c>
      <c r="C4788" s="5" t="s">
        <v>11</v>
      </c>
      <c r="D4788" s="5" t="s">
        <v>12</v>
      </c>
      <c r="E4788" s="5" t="s">
        <v>3962</v>
      </c>
    </row>
    <row r="4789" spans="1:5" x14ac:dyDescent="0.25">
      <c r="A4789" s="5">
        <f>4781</f>
      </c>
      <c r="B4789" s="5" t="s">
        <v>4012</v>
      </c>
      <c r="C4789" s="5" t="s">
        <v>11</v>
      </c>
      <c r="D4789" s="5" t="s">
        <v>12</v>
      </c>
      <c r="E4789" s="5" t="s">
        <v>3962</v>
      </c>
    </row>
    <row r="4790" spans="1:5" x14ac:dyDescent="0.25">
      <c r="A4790" s="5">
        <f>4782</f>
      </c>
      <c r="B4790" s="5" t="s">
        <v>4013</v>
      </c>
      <c r="C4790" s="5" t="s">
        <v>11</v>
      </c>
      <c r="D4790" s="5" t="s">
        <v>12</v>
      </c>
      <c r="E4790" s="5" t="s">
        <v>3962</v>
      </c>
    </row>
    <row r="4791" spans="1:5" x14ac:dyDescent="0.25">
      <c r="A4791" s="5">
        <f>4783</f>
      </c>
      <c r="B4791" s="5" t="s">
        <v>4014</v>
      </c>
      <c r="C4791" s="5" t="s">
        <v>11</v>
      </c>
      <c r="D4791" s="5" t="s">
        <v>12</v>
      </c>
      <c r="E4791" s="5" t="s">
        <v>3962</v>
      </c>
    </row>
    <row r="4792" spans="1:5" x14ac:dyDescent="0.25">
      <c r="A4792" s="5">
        <f>4784</f>
      </c>
      <c r="B4792" s="5" t="s">
        <v>4015</v>
      </c>
      <c r="C4792" s="5" t="s">
        <v>11</v>
      </c>
      <c r="D4792" s="5" t="s">
        <v>12</v>
      </c>
      <c r="E4792" s="5" t="s">
        <v>3962</v>
      </c>
    </row>
    <row r="4793" spans="1:5" x14ac:dyDescent="0.25">
      <c r="A4793" s="5">
        <f>4785</f>
      </c>
      <c r="B4793" s="5" t="s">
        <v>4016</v>
      </c>
      <c r="C4793" s="5" t="s">
        <v>11</v>
      </c>
      <c r="D4793" s="5" t="s">
        <v>12</v>
      </c>
      <c r="E4793" s="5" t="s">
        <v>3962</v>
      </c>
    </row>
    <row r="4794" spans="1:5" x14ac:dyDescent="0.25">
      <c r="A4794" s="5">
        <f>4786</f>
      </c>
      <c r="B4794" s="5" t="s">
        <v>4017</v>
      </c>
      <c r="C4794" s="5" t="s">
        <v>11</v>
      </c>
      <c r="D4794" s="5" t="s">
        <v>12</v>
      </c>
      <c r="E4794" s="5" t="s">
        <v>4018</v>
      </c>
    </row>
    <row r="4795" spans="1:5" x14ac:dyDescent="0.25">
      <c r="A4795" s="5">
        <f>4787</f>
      </c>
      <c r="B4795" s="5" t="s">
        <v>4019</v>
      </c>
      <c r="C4795" s="5" t="s">
        <v>11</v>
      </c>
      <c r="D4795" s="5" t="s">
        <v>12</v>
      </c>
      <c r="E4795" s="5" t="s">
        <v>3378</v>
      </c>
    </row>
    <row r="4796" spans="1:5" x14ac:dyDescent="0.25">
      <c r="A4796" s="5">
        <f>4788</f>
      </c>
      <c r="B4796" s="5" t="s">
        <v>4020</v>
      </c>
      <c r="C4796" s="5" t="s">
        <v>11</v>
      </c>
      <c r="D4796" s="5" t="s">
        <v>12</v>
      </c>
      <c r="E4796" s="5" t="s">
        <v>3601</v>
      </c>
    </row>
    <row r="4797" spans="1:5" x14ac:dyDescent="0.25">
      <c r="A4797" s="5">
        <f>4789</f>
      </c>
      <c r="B4797" s="5" t="s">
        <v>4021</v>
      </c>
      <c r="C4797" s="5" t="s">
        <v>11</v>
      </c>
      <c r="D4797" s="5" t="s">
        <v>12</v>
      </c>
      <c r="E4797" s="5" t="s">
        <v>3545</v>
      </c>
    </row>
    <row r="4798" spans="1:5" x14ac:dyDescent="0.25">
      <c r="A4798" s="5">
        <f>4790</f>
      </c>
      <c r="B4798" s="5" t="s">
        <v>4022</v>
      </c>
      <c r="C4798" s="5" t="s">
        <v>11</v>
      </c>
      <c r="D4798" s="5" t="s">
        <v>12</v>
      </c>
      <c r="E4798" s="5" t="s">
        <v>2840</v>
      </c>
    </row>
    <row r="4799" spans="1:5" x14ac:dyDescent="0.25">
      <c r="A4799" s="5">
        <f>4791</f>
      </c>
      <c r="B4799" s="5" t="s">
        <v>4023</v>
      </c>
      <c r="C4799" s="5" t="s">
        <v>11</v>
      </c>
      <c r="D4799" s="5" t="s">
        <v>12</v>
      </c>
      <c r="E4799" s="5" t="s">
        <v>3678</v>
      </c>
    </row>
    <row r="4800" spans="1:5" x14ac:dyDescent="0.25">
      <c r="A4800" s="5">
        <f>4792</f>
      </c>
      <c r="B4800" s="5" t="s">
        <v>4024</v>
      </c>
      <c r="C4800" s="5" t="s">
        <v>11</v>
      </c>
      <c r="D4800" s="5" t="s">
        <v>12</v>
      </c>
      <c r="E4800" s="5" t="s">
        <v>3922</v>
      </c>
    </row>
    <row r="4801" spans="1:5" x14ac:dyDescent="0.25">
      <c r="A4801" s="5">
        <f>4793</f>
      </c>
      <c r="B4801" s="5" t="s">
        <v>4025</v>
      </c>
      <c r="C4801" s="5" t="s">
        <v>11</v>
      </c>
      <c r="D4801" s="5" t="s">
        <v>12</v>
      </c>
      <c r="E4801" s="5" t="s">
        <v>2333</v>
      </c>
    </row>
    <row r="4802" spans="1:5" x14ac:dyDescent="0.25">
      <c r="A4802" s="5">
        <f>4794</f>
      </c>
      <c r="B4802" s="5" t="s">
        <v>4026</v>
      </c>
      <c r="C4802" s="5" t="s">
        <v>11</v>
      </c>
      <c r="D4802" s="5" t="s">
        <v>12</v>
      </c>
      <c r="E4802" s="5" t="s">
        <v>3425</v>
      </c>
    </row>
    <row r="4803" spans="1:5" x14ac:dyDescent="0.25">
      <c r="A4803" s="5">
        <f>4795</f>
      </c>
      <c r="B4803" s="5" t="s">
        <v>4027</v>
      </c>
      <c r="C4803" s="5" t="s">
        <v>11</v>
      </c>
      <c r="D4803" s="5" t="s">
        <v>12</v>
      </c>
      <c r="E4803" s="5" t="s">
        <v>2255</v>
      </c>
    </row>
    <row r="4804" spans="1:5" x14ac:dyDescent="0.25">
      <c r="A4804" s="5">
        <f>4796</f>
      </c>
      <c r="B4804" s="5" t="s">
        <v>4028</v>
      </c>
      <c r="C4804" s="5" t="s">
        <v>11</v>
      </c>
      <c r="D4804" s="5" t="s">
        <v>12</v>
      </c>
      <c r="E4804" s="5" t="s">
        <v>2648</v>
      </c>
    </row>
    <row r="4805" spans="1:5" x14ac:dyDescent="0.25">
      <c r="A4805" s="5">
        <f>4797</f>
      </c>
      <c r="B4805" s="5" t="s">
        <v>4029</v>
      </c>
      <c r="C4805" s="5" t="s">
        <v>11</v>
      </c>
      <c r="D4805" s="5" t="s">
        <v>12</v>
      </c>
      <c r="E4805" s="5" t="s">
        <v>2944</v>
      </c>
    </row>
    <row r="4806" spans="1:5" x14ac:dyDescent="0.25">
      <c r="A4806" s="5">
        <f>4798</f>
      </c>
      <c r="B4806" s="5" t="s">
        <v>4030</v>
      </c>
      <c r="C4806" s="5" t="s">
        <v>11</v>
      </c>
      <c r="D4806" s="5" t="s">
        <v>12</v>
      </c>
      <c r="E4806" s="5" t="s">
        <v>3891</v>
      </c>
    </row>
    <row r="4807" spans="1:5" x14ac:dyDescent="0.25">
      <c r="A4807" s="5">
        <f>4799</f>
      </c>
      <c r="B4807" s="5" t="s">
        <v>4031</v>
      </c>
      <c r="C4807" s="5" t="s">
        <v>11</v>
      </c>
      <c r="D4807" s="5" t="s">
        <v>12</v>
      </c>
      <c r="E4807" s="5" t="s">
        <v>1040</v>
      </c>
    </row>
    <row r="4808" spans="1:5" x14ac:dyDescent="0.25">
      <c r="A4808" s="5">
        <f>4800</f>
      </c>
      <c r="B4808" s="5" t="s">
        <v>4032</v>
      </c>
      <c r="C4808" s="5" t="s">
        <v>11</v>
      </c>
      <c r="D4808" s="5" t="s">
        <v>12</v>
      </c>
      <c r="E4808" s="5" t="s">
        <v>3716</v>
      </c>
    </row>
    <row r="4809" spans="1:5" x14ac:dyDescent="0.25">
      <c r="A4809" s="5">
        <f>4801</f>
      </c>
      <c r="B4809" s="5" t="s">
        <v>4033</v>
      </c>
      <c r="C4809" s="5" t="s">
        <v>11</v>
      </c>
      <c r="D4809" s="5" t="s">
        <v>12</v>
      </c>
      <c r="E4809" s="5" t="s">
        <v>2309</v>
      </c>
    </row>
    <row r="4810" spans="1:5" x14ac:dyDescent="0.25">
      <c r="A4810" s="5">
        <f>4802</f>
      </c>
      <c r="B4810" s="5" t="s">
        <v>4034</v>
      </c>
      <c r="C4810" s="5" t="s">
        <v>11</v>
      </c>
      <c r="D4810" s="5" t="s">
        <v>12</v>
      </c>
      <c r="E4810" s="5" t="s">
        <v>730</v>
      </c>
    </row>
    <row r="4811" spans="1:5" x14ac:dyDescent="0.25">
      <c r="A4811" s="5">
        <f>4803</f>
      </c>
      <c r="B4811" s="5" t="s">
        <v>4035</v>
      </c>
      <c r="C4811" s="5" t="s">
        <v>11</v>
      </c>
      <c r="D4811" s="5" t="s">
        <v>12</v>
      </c>
      <c r="E4811" s="5" t="s">
        <v>959</v>
      </c>
    </row>
    <row r="4812" spans="1:5" x14ac:dyDescent="0.25">
      <c r="A4812" s="5">
        <f>4804</f>
      </c>
      <c r="B4812" s="5" t="s">
        <v>4036</v>
      </c>
      <c r="C4812" s="5" t="s">
        <v>11</v>
      </c>
      <c r="D4812" s="5" t="s">
        <v>12</v>
      </c>
      <c r="E4812" s="5" t="s">
        <v>2844</v>
      </c>
    </row>
    <row r="4813" spans="1:5" x14ac:dyDescent="0.25">
      <c r="A4813" s="5">
        <f>4805</f>
      </c>
      <c r="B4813" s="5" t="s">
        <v>4037</v>
      </c>
      <c r="C4813" s="5" t="s">
        <v>11</v>
      </c>
      <c r="D4813" s="5" t="s">
        <v>12</v>
      </c>
      <c r="E4813" s="5" t="s">
        <v>2826</v>
      </c>
    </row>
    <row r="4814" spans="1:5" x14ac:dyDescent="0.25">
      <c r="A4814" s="5">
        <f>4806</f>
      </c>
      <c r="B4814" s="5" t="s">
        <v>4038</v>
      </c>
      <c r="C4814" s="5" t="s">
        <v>11</v>
      </c>
      <c r="D4814" s="5" t="s">
        <v>12</v>
      </c>
      <c r="E4814" s="5" t="s">
        <v>4039</v>
      </c>
    </row>
    <row r="4815" spans="1:5" x14ac:dyDescent="0.25">
      <c r="A4815" s="5">
        <f>4807</f>
      </c>
      <c r="B4815" s="5" t="s">
        <v>4040</v>
      </c>
      <c r="C4815" s="5" t="s">
        <v>11</v>
      </c>
      <c r="D4815" s="5" t="s">
        <v>12</v>
      </c>
      <c r="E4815" s="5" t="s">
        <v>4039</v>
      </c>
    </row>
    <row r="4816" spans="1:5" x14ac:dyDescent="0.25">
      <c r="A4816" s="5">
        <f>4808</f>
      </c>
      <c r="B4816" s="5" t="s">
        <v>4041</v>
      </c>
      <c r="C4816" s="5" t="s">
        <v>11</v>
      </c>
      <c r="D4816" s="5" t="s">
        <v>12</v>
      </c>
      <c r="E4816" s="5" t="s">
        <v>2590</v>
      </c>
    </row>
    <row r="4817" spans="1:5" x14ac:dyDescent="0.25">
      <c r="A4817" s="5">
        <f>4809</f>
      </c>
      <c r="B4817" s="5" t="s">
        <v>4042</v>
      </c>
      <c r="C4817" s="5" t="s">
        <v>11</v>
      </c>
      <c r="D4817" s="5" t="s">
        <v>12</v>
      </c>
      <c r="E4817" s="5" t="s">
        <v>3692</v>
      </c>
    </row>
    <row r="4818" spans="1:5" x14ac:dyDescent="0.25">
      <c r="A4818" s="5">
        <f>4810</f>
      </c>
      <c r="B4818" s="5" t="s">
        <v>4043</v>
      </c>
      <c r="C4818" s="5" t="s">
        <v>11</v>
      </c>
      <c r="D4818" s="5" t="s">
        <v>12</v>
      </c>
      <c r="E4818" s="5" t="s">
        <v>2335</v>
      </c>
    </row>
    <row r="4819" spans="1:5" x14ac:dyDescent="0.25">
      <c r="A4819" s="5">
        <f>4811</f>
      </c>
      <c r="B4819" s="5" t="s">
        <v>4044</v>
      </c>
      <c r="C4819" s="5" t="s">
        <v>11</v>
      </c>
      <c r="D4819" s="5" t="s">
        <v>12</v>
      </c>
      <c r="E4819" s="5" t="s">
        <v>3958</v>
      </c>
    </row>
    <row r="4820" spans="1:5" x14ac:dyDescent="0.25">
      <c r="A4820" s="5">
        <f>4812</f>
      </c>
      <c r="B4820" s="5" t="s">
        <v>4045</v>
      </c>
      <c r="C4820" s="5" t="s">
        <v>11</v>
      </c>
      <c r="D4820" s="5" t="s">
        <v>12</v>
      </c>
      <c r="E4820" s="5" t="s">
        <v>2645</v>
      </c>
    </row>
    <row r="4821" spans="1:5" x14ac:dyDescent="0.25">
      <c r="A4821" s="5">
        <f>4813</f>
      </c>
      <c r="B4821" s="5" t="s">
        <v>4046</v>
      </c>
      <c r="C4821" s="5" t="s">
        <v>11</v>
      </c>
      <c r="D4821" s="5" t="s">
        <v>12</v>
      </c>
      <c r="E4821" s="5" t="s">
        <v>1030</v>
      </c>
    </row>
    <row r="4822" spans="1:5" x14ac:dyDescent="0.25">
      <c r="A4822" s="5">
        <f>4814</f>
      </c>
      <c r="B4822" s="5" t="s">
        <v>4047</v>
      </c>
      <c r="C4822" s="5" t="s">
        <v>11</v>
      </c>
      <c r="D4822" s="5" t="s">
        <v>12</v>
      </c>
      <c r="E4822" s="5" t="s">
        <v>4048</v>
      </c>
    </row>
    <row r="4823" spans="1:5" x14ac:dyDescent="0.25">
      <c r="A4823" s="5">
        <f>4815</f>
      </c>
      <c r="B4823" s="5" t="s">
        <v>4049</v>
      </c>
      <c r="C4823" s="5" t="s">
        <v>11</v>
      </c>
      <c r="D4823" s="5" t="s">
        <v>12</v>
      </c>
      <c r="E4823" s="5" t="s">
        <v>2409</v>
      </c>
    </row>
    <row r="4824" spans="1:5" x14ac:dyDescent="0.25">
      <c r="A4824" s="5">
        <f>4816</f>
      </c>
      <c r="B4824" s="5" t="s">
        <v>4050</v>
      </c>
      <c r="C4824" s="5" t="s">
        <v>11</v>
      </c>
      <c r="D4824" s="5" t="s">
        <v>12</v>
      </c>
      <c r="E4824" s="5" t="s">
        <v>4051</v>
      </c>
    </row>
    <row r="4825" spans="1:5" x14ac:dyDescent="0.25">
      <c r="A4825" s="5">
        <f>4817</f>
      </c>
      <c r="B4825" s="5" t="s">
        <v>4052</v>
      </c>
      <c r="C4825" s="5" t="s">
        <v>11</v>
      </c>
      <c r="D4825" s="5" t="s">
        <v>12</v>
      </c>
      <c r="E4825" s="5" t="s">
        <v>2325</v>
      </c>
    </row>
    <row r="4826" spans="1:5" x14ac:dyDescent="0.25">
      <c r="A4826" s="5">
        <f>4818</f>
      </c>
      <c r="B4826" s="5" t="s">
        <v>4053</v>
      </c>
      <c r="C4826" s="5" t="s">
        <v>11</v>
      </c>
      <c r="D4826" s="5" t="s">
        <v>12</v>
      </c>
      <c r="E4826" s="5" t="s">
        <v>2876</v>
      </c>
    </row>
    <row r="4827" spans="1:5" x14ac:dyDescent="0.25">
      <c r="A4827" s="5">
        <f>4819</f>
      </c>
      <c r="B4827" s="5" t="s">
        <v>4054</v>
      </c>
      <c r="C4827" s="5" t="s">
        <v>11</v>
      </c>
      <c r="D4827" s="5" t="s">
        <v>12</v>
      </c>
      <c r="E4827" s="5" t="s">
        <v>775</v>
      </c>
    </row>
    <row r="4828" spans="1:5" x14ac:dyDescent="0.25">
      <c r="A4828" s="5">
        <f>4820</f>
      </c>
      <c r="B4828" s="5" t="s">
        <v>4055</v>
      </c>
      <c r="C4828" s="5" t="s">
        <v>11</v>
      </c>
      <c r="D4828" s="5" t="s">
        <v>12</v>
      </c>
      <c r="E4828" s="5" t="s">
        <v>2318</v>
      </c>
    </row>
    <row r="4829" spans="1:5" x14ac:dyDescent="0.25">
      <c r="A4829" s="5">
        <f>4821</f>
      </c>
      <c r="B4829" s="5" t="s">
        <v>4056</v>
      </c>
      <c r="C4829" s="5" t="s">
        <v>11</v>
      </c>
      <c r="D4829" s="5" t="s">
        <v>12</v>
      </c>
      <c r="E4829" s="5" t="s">
        <v>1034</v>
      </c>
    </row>
    <row r="4830" spans="1:5" x14ac:dyDescent="0.25">
      <c r="A4830" s="5">
        <f>4822</f>
      </c>
      <c r="B4830" s="5" t="s">
        <v>4057</v>
      </c>
      <c r="C4830" s="5" t="s">
        <v>11</v>
      </c>
      <c r="D4830" s="5" t="s">
        <v>12</v>
      </c>
      <c r="E4830" s="5" t="s">
        <v>3771</v>
      </c>
    </row>
    <row r="4831" spans="1:5" x14ac:dyDescent="0.25">
      <c r="A4831" s="5">
        <f>4823</f>
      </c>
      <c r="B4831" s="5" t="s">
        <v>4058</v>
      </c>
      <c r="C4831" s="5" t="s">
        <v>11</v>
      </c>
      <c r="D4831" s="5" t="s">
        <v>12</v>
      </c>
      <c r="E4831" s="5" t="s">
        <v>2384</v>
      </c>
    </row>
    <row r="4832" spans="1:5" x14ac:dyDescent="0.25">
      <c r="A4832" s="5">
        <f>4824</f>
      </c>
      <c r="B4832" s="5" t="s">
        <v>4059</v>
      </c>
      <c r="C4832" s="5" t="s">
        <v>11</v>
      </c>
      <c r="D4832" s="5" t="s">
        <v>12</v>
      </c>
      <c r="E4832" s="5" t="s">
        <v>2645</v>
      </c>
    </row>
    <row r="4833" spans="1:5" x14ac:dyDescent="0.25">
      <c r="A4833" s="5">
        <f>4825</f>
      </c>
      <c r="B4833" s="5" t="s">
        <v>4060</v>
      </c>
      <c r="C4833" s="5" t="s">
        <v>11</v>
      </c>
      <c r="D4833" s="5" t="s">
        <v>12</v>
      </c>
      <c r="E4833" s="5" t="s">
        <v>3518</v>
      </c>
    </row>
    <row r="4834" spans="1:5" x14ac:dyDescent="0.25">
      <c r="A4834" s="5">
        <f>4826</f>
      </c>
      <c r="B4834" s="5" t="s">
        <v>4061</v>
      </c>
      <c r="C4834" s="5" t="s">
        <v>11</v>
      </c>
      <c r="D4834" s="5" t="s">
        <v>12</v>
      </c>
      <c r="E4834" s="5" t="s">
        <v>938</v>
      </c>
    </row>
    <row r="4835" spans="1:5" x14ac:dyDescent="0.25">
      <c r="A4835" s="5">
        <f>4827</f>
      </c>
      <c r="B4835" s="5" t="s">
        <v>4062</v>
      </c>
      <c r="C4835" s="5" t="s">
        <v>11</v>
      </c>
      <c r="D4835" s="5" t="s">
        <v>12</v>
      </c>
      <c r="E4835" s="5" t="s">
        <v>4048</v>
      </c>
    </row>
    <row r="4836" spans="1:5" x14ac:dyDescent="0.25">
      <c r="A4836" s="5">
        <f>4828</f>
      </c>
      <c r="B4836" s="5" t="s">
        <v>4063</v>
      </c>
      <c r="C4836" s="5" t="s">
        <v>11</v>
      </c>
      <c r="D4836" s="5" t="s">
        <v>12</v>
      </c>
      <c r="E4836" s="5" t="s">
        <v>2754</v>
      </c>
    </row>
    <row r="4837" spans="1:5" x14ac:dyDescent="0.25">
      <c r="A4837" s="5">
        <f>4829</f>
      </c>
      <c r="B4837" s="5" t="s">
        <v>4064</v>
      </c>
      <c r="C4837" s="5" t="s">
        <v>11</v>
      </c>
      <c r="D4837" s="5" t="s">
        <v>12</v>
      </c>
      <c r="E4837" s="5" t="s">
        <v>3559</v>
      </c>
    </row>
    <row r="4838" spans="1:5" x14ac:dyDescent="0.25">
      <c r="A4838" s="5">
        <f>4830</f>
      </c>
      <c r="B4838" s="5" t="s">
        <v>4065</v>
      </c>
      <c r="C4838" s="5" t="s">
        <v>11</v>
      </c>
      <c r="D4838" s="5" t="s">
        <v>12</v>
      </c>
      <c r="E4838" s="5" t="s">
        <v>4066</v>
      </c>
    </row>
    <row r="4839" spans="1:5" x14ac:dyDescent="0.25">
      <c r="A4839" s="5">
        <f>4831</f>
      </c>
      <c r="B4839" s="5" t="s">
        <v>4067</v>
      </c>
      <c r="C4839" s="5" t="s">
        <v>11</v>
      </c>
      <c r="D4839" s="5" t="s">
        <v>12</v>
      </c>
      <c r="E4839" s="5" t="s">
        <v>784</v>
      </c>
    </row>
    <row r="4840" spans="1:5" x14ac:dyDescent="0.25">
      <c r="A4840" s="5">
        <f>4832</f>
      </c>
      <c r="B4840" s="5" t="s">
        <v>4068</v>
      </c>
      <c r="C4840" s="5" t="s">
        <v>11</v>
      </c>
      <c r="D4840" s="5" t="s">
        <v>12</v>
      </c>
      <c r="E4840" s="5" t="s">
        <v>2318</v>
      </c>
    </row>
    <row r="4841" spans="1:5" x14ac:dyDescent="0.25">
      <c r="A4841" s="5">
        <f>4833</f>
      </c>
      <c r="B4841" s="5" t="s">
        <v>4069</v>
      </c>
      <c r="C4841" s="5" t="s">
        <v>11</v>
      </c>
      <c r="D4841" s="5" t="s">
        <v>12</v>
      </c>
      <c r="E4841" s="5" t="s">
        <v>990</v>
      </c>
    </row>
    <row r="4842" spans="1:5" x14ac:dyDescent="0.25">
      <c r="A4842" s="5">
        <f>4834</f>
      </c>
      <c r="B4842" s="5" t="s">
        <v>4070</v>
      </c>
      <c r="C4842" s="5" t="s">
        <v>11</v>
      </c>
      <c r="D4842" s="5" t="s">
        <v>12</v>
      </c>
      <c r="E4842" s="5" t="s">
        <v>2626</v>
      </c>
    </row>
    <row r="4843" spans="1:5" x14ac:dyDescent="0.25">
      <c r="A4843" s="5">
        <f>4835</f>
      </c>
      <c r="B4843" s="5" t="s">
        <v>4071</v>
      </c>
      <c r="C4843" s="5" t="s">
        <v>11</v>
      </c>
      <c r="D4843" s="5" t="s">
        <v>12</v>
      </c>
      <c r="E4843" s="5" t="s">
        <v>4072</v>
      </c>
    </row>
    <row r="4844" spans="1:5" x14ac:dyDescent="0.25">
      <c r="A4844" s="5">
        <f>4836</f>
      </c>
      <c r="B4844" s="5" t="s">
        <v>4073</v>
      </c>
      <c r="C4844" s="5" t="s">
        <v>11</v>
      </c>
      <c r="D4844" s="5" t="s">
        <v>12</v>
      </c>
      <c r="E4844" s="5" t="s">
        <v>3621</v>
      </c>
    </row>
    <row r="4845" spans="1:5" x14ac:dyDescent="0.25">
      <c r="A4845" s="5">
        <f>4837</f>
      </c>
      <c r="B4845" s="5" t="s">
        <v>4074</v>
      </c>
      <c r="C4845" s="5" t="s">
        <v>11</v>
      </c>
      <c r="D4845" s="5" t="s">
        <v>12</v>
      </c>
      <c r="E4845" s="5" t="s">
        <v>4075</v>
      </c>
    </row>
    <row r="4846" spans="1:5" x14ac:dyDescent="0.25">
      <c r="A4846" s="5">
        <f>4838</f>
      </c>
      <c r="B4846" s="5" t="s">
        <v>4076</v>
      </c>
      <c r="C4846" s="5" t="s">
        <v>11</v>
      </c>
      <c r="D4846" s="5" t="s">
        <v>12</v>
      </c>
      <c r="E4846" s="5" t="s">
        <v>975</v>
      </c>
    </row>
    <row r="4847" spans="1:5" x14ac:dyDescent="0.25">
      <c r="A4847" s="5">
        <f>4839</f>
      </c>
      <c r="B4847" s="5" t="s">
        <v>4077</v>
      </c>
      <c r="C4847" s="5" t="s">
        <v>11</v>
      </c>
      <c r="D4847" s="5" t="s">
        <v>12</v>
      </c>
      <c r="E4847" s="5" t="s">
        <v>3565</v>
      </c>
    </row>
    <row r="4848" spans="1:5" x14ac:dyDescent="0.25">
      <c r="A4848" s="5">
        <f>4840</f>
      </c>
      <c r="B4848" s="5" t="s">
        <v>4078</v>
      </c>
      <c r="C4848" s="5" t="s">
        <v>11</v>
      </c>
      <c r="D4848" s="5" t="s">
        <v>12</v>
      </c>
      <c r="E4848" s="5" t="s">
        <v>732</v>
      </c>
    </row>
    <row r="4849" spans="1:5" x14ac:dyDescent="0.25">
      <c r="A4849" s="5">
        <f>4841</f>
      </c>
      <c r="B4849" s="5" t="s">
        <v>4079</v>
      </c>
      <c r="C4849" s="5" t="s">
        <v>11</v>
      </c>
      <c r="D4849" s="5" t="s">
        <v>12</v>
      </c>
      <c r="E4849" s="5" t="s">
        <v>3891</v>
      </c>
    </row>
    <row r="4850" spans="1:5" x14ac:dyDescent="0.25">
      <c r="A4850" s="5">
        <f>4842</f>
      </c>
      <c r="B4850" s="5" t="s">
        <v>4080</v>
      </c>
      <c r="C4850" s="5" t="s">
        <v>11</v>
      </c>
      <c r="D4850" s="5" t="s">
        <v>12</v>
      </c>
      <c r="E4850" s="5" t="s">
        <v>2338</v>
      </c>
    </row>
    <row r="4851" spans="1:5" x14ac:dyDescent="0.25">
      <c r="A4851" s="5">
        <f>4843</f>
      </c>
      <c r="B4851" s="5" t="s">
        <v>4081</v>
      </c>
      <c r="C4851" s="5" t="s">
        <v>11</v>
      </c>
      <c r="D4851" s="5" t="s">
        <v>12</v>
      </c>
      <c r="E4851" s="5" t="s">
        <v>2381</v>
      </c>
    </row>
    <row r="4852" spans="1:5" x14ac:dyDescent="0.25">
      <c r="A4852" s="5">
        <f>4844</f>
      </c>
      <c r="B4852" s="5" t="s">
        <v>4082</v>
      </c>
      <c r="C4852" s="5" t="s">
        <v>11</v>
      </c>
      <c r="D4852" s="5" t="s">
        <v>12</v>
      </c>
      <c r="E4852" s="5" t="s">
        <v>3586</v>
      </c>
    </row>
    <row r="4853" spans="1:5" x14ac:dyDescent="0.25">
      <c r="A4853" s="5">
        <f>4845</f>
      </c>
      <c r="B4853" s="5" t="s">
        <v>4083</v>
      </c>
      <c r="C4853" s="5" t="s">
        <v>11</v>
      </c>
      <c r="D4853" s="5" t="s">
        <v>12</v>
      </c>
      <c r="E4853" s="5" t="s">
        <v>4084</v>
      </c>
    </row>
    <row r="4854" spans="1:5" x14ac:dyDescent="0.25">
      <c r="A4854" s="5">
        <f>4846</f>
      </c>
      <c r="B4854" s="5" t="s">
        <v>4085</v>
      </c>
      <c r="C4854" s="5" t="s">
        <v>11</v>
      </c>
      <c r="D4854" s="5" t="s">
        <v>12</v>
      </c>
      <c r="E4854" s="5" t="s">
        <v>3538</v>
      </c>
    </row>
    <row r="4855" spans="1:5" x14ac:dyDescent="0.25">
      <c r="A4855" s="5">
        <f>4847</f>
      </c>
      <c r="B4855" s="5" t="s">
        <v>4086</v>
      </c>
      <c r="C4855" s="5" t="s">
        <v>11</v>
      </c>
      <c r="D4855" s="5" t="s">
        <v>12</v>
      </c>
      <c r="E4855" s="5" t="s">
        <v>2826</v>
      </c>
    </row>
    <row r="4856" spans="1:5" x14ac:dyDescent="0.25">
      <c r="A4856" s="5">
        <f>4848</f>
      </c>
      <c r="B4856" s="5" t="s">
        <v>4087</v>
      </c>
      <c r="C4856" s="5" t="s">
        <v>11</v>
      </c>
      <c r="D4856" s="5" t="s">
        <v>12</v>
      </c>
      <c r="E4856" s="5" t="s">
        <v>3869</v>
      </c>
    </row>
    <row r="4857" spans="1:5" x14ac:dyDescent="0.25">
      <c r="A4857" s="5">
        <f>4849</f>
      </c>
      <c r="B4857" s="5" t="s">
        <v>4088</v>
      </c>
      <c r="C4857" s="5" t="s">
        <v>11</v>
      </c>
      <c r="D4857" s="5" t="s">
        <v>12</v>
      </c>
      <c r="E4857" s="5" t="s">
        <v>3922</v>
      </c>
    </row>
    <row r="4858" spans="1:5" x14ac:dyDescent="0.25">
      <c r="A4858" s="5">
        <f>4850</f>
      </c>
      <c r="B4858" s="5" t="s">
        <v>4089</v>
      </c>
      <c r="C4858" s="5" t="s">
        <v>11</v>
      </c>
      <c r="D4858" s="5" t="s">
        <v>12</v>
      </c>
      <c r="E4858" s="5" t="s">
        <v>835</v>
      </c>
    </row>
    <row r="4859" spans="1:5" x14ac:dyDescent="0.25">
      <c r="A4859" s="5">
        <f>4851</f>
      </c>
      <c r="B4859" s="5" t="s">
        <v>4090</v>
      </c>
      <c r="C4859" s="5" t="s">
        <v>11</v>
      </c>
      <c r="D4859" s="5" t="s">
        <v>12</v>
      </c>
      <c r="E4859" s="5" t="s">
        <v>3516</v>
      </c>
    </row>
    <row r="4860" spans="1:5" x14ac:dyDescent="0.25">
      <c r="A4860" s="5">
        <f>4852</f>
      </c>
      <c r="B4860" s="5" t="s">
        <v>4091</v>
      </c>
      <c r="C4860" s="5" t="s">
        <v>11</v>
      </c>
      <c r="D4860" s="5" t="s">
        <v>12</v>
      </c>
      <c r="E4860" s="5" t="s">
        <v>3922</v>
      </c>
    </row>
    <row r="4861" spans="1:5" x14ac:dyDescent="0.25">
      <c r="A4861" s="5">
        <f>4853</f>
      </c>
      <c r="B4861" s="5" t="s">
        <v>4092</v>
      </c>
      <c r="C4861" s="5" t="s">
        <v>11</v>
      </c>
      <c r="D4861" s="5" t="s">
        <v>12</v>
      </c>
      <c r="E4861" s="5" t="s">
        <v>2343</v>
      </c>
    </row>
    <row r="4862" spans="1:5" x14ac:dyDescent="0.25">
      <c r="A4862" s="5">
        <f>4854</f>
      </c>
      <c r="B4862" s="5" t="s">
        <v>4093</v>
      </c>
      <c r="C4862" s="5" t="s">
        <v>11</v>
      </c>
      <c r="D4862" s="5" t="s">
        <v>12</v>
      </c>
      <c r="E4862" s="5" t="s">
        <v>3680</v>
      </c>
    </row>
    <row r="4863" spans="1:5" x14ac:dyDescent="0.25">
      <c r="A4863" s="5">
        <f>4855</f>
      </c>
      <c r="B4863" s="5" t="s">
        <v>4094</v>
      </c>
      <c r="C4863" s="5" t="s">
        <v>11</v>
      </c>
      <c r="D4863" s="5" t="s">
        <v>12</v>
      </c>
      <c r="E4863" s="5" t="s">
        <v>4048</v>
      </c>
    </row>
    <row r="4864" spans="1:5" x14ac:dyDescent="0.25">
      <c r="A4864" s="5">
        <f>4856</f>
      </c>
      <c r="B4864" s="5" t="s">
        <v>4095</v>
      </c>
      <c r="C4864" s="5" t="s">
        <v>11</v>
      </c>
      <c r="D4864" s="5" t="s">
        <v>12</v>
      </c>
      <c r="E4864" s="5" t="s">
        <v>726</v>
      </c>
    </row>
    <row r="4865" spans="1:5" x14ac:dyDescent="0.25">
      <c r="A4865" s="5">
        <f>4857</f>
      </c>
      <c r="B4865" s="5" t="s">
        <v>4096</v>
      </c>
      <c r="C4865" s="5" t="s">
        <v>11</v>
      </c>
      <c r="D4865" s="5" t="s">
        <v>12</v>
      </c>
      <c r="E4865" s="5" t="s">
        <v>2596</v>
      </c>
    </row>
    <row r="4866" spans="1:5" x14ac:dyDescent="0.25">
      <c r="A4866" s="5">
        <f>4858</f>
      </c>
      <c r="B4866" s="5" t="s">
        <v>4097</v>
      </c>
      <c r="C4866" s="5" t="s">
        <v>11</v>
      </c>
      <c r="D4866" s="5" t="s">
        <v>12</v>
      </c>
      <c r="E4866" s="5" t="s">
        <v>3922</v>
      </c>
    </row>
    <row r="4867" spans="1:5" x14ac:dyDescent="0.25">
      <c r="A4867" s="5">
        <f>4859</f>
      </c>
      <c r="B4867" s="5" t="s">
        <v>4098</v>
      </c>
      <c r="C4867" s="5" t="s">
        <v>11</v>
      </c>
      <c r="D4867" s="5" t="s">
        <v>12</v>
      </c>
      <c r="E4867" s="5" t="s">
        <v>2304</v>
      </c>
    </row>
    <row r="4868" spans="1:5" x14ac:dyDescent="0.25">
      <c r="A4868" s="5">
        <f>4860</f>
      </c>
      <c r="B4868" s="5" t="s">
        <v>4099</v>
      </c>
      <c r="C4868" s="5" t="s">
        <v>11</v>
      </c>
      <c r="D4868" s="5" t="s">
        <v>12</v>
      </c>
      <c r="E4868" s="5" t="s">
        <v>3626</v>
      </c>
    </row>
    <row r="4869" spans="1:5" x14ac:dyDescent="0.25">
      <c r="A4869" s="5">
        <f>4861</f>
      </c>
      <c r="B4869" s="5" t="s">
        <v>4100</v>
      </c>
      <c r="C4869" s="5" t="s">
        <v>11</v>
      </c>
      <c r="D4869" s="5" t="s">
        <v>12</v>
      </c>
      <c r="E4869" s="5" t="s">
        <v>927</v>
      </c>
    </row>
    <row r="4870" spans="1:5" x14ac:dyDescent="0.25">
      <c r="A4870" s="5">
        <f>4862</f>
      </c>
      <c r="B4870" s="5" t="s">
        <v>4101</v>
      </c>
      <c r="C4870" s="5" t="s">
        <v>11</v>
      </c>
      <c r="D4870" s="5" t="s">
        <v>12</v>
      </c>
      <c r="E4870" s="5" t="s">
        <v>2944</v>
      </c>
    </row>
    <row r="4871" spans="1:5" x14ac:dyDescent="0.25">
      <c r="A4871" s="5">
        <f>4863</f>
      </c>
      <c r="B4871" s="5" t="s">
        <v>4102</v>
      </c>
      <c r="C4871" s="5" t="s">
        <v>11</v>
      </c>
      <c r="D4871" s="5" t="s">
        <v>12</v>
      </c>
      <c r="E4871" s="5" t="s">
        <v>4103</v>
      </c>
    </row>
    <row r="4872" spans="1:5" x14ac:dyDescent="0.25">
      <c r="A4872" s="5">
        <f>4864</f>
      </c>
      <c r="B4872" s="5" t="s">
        <v>4104</v>
      </c>
      <c r="C4872" s="5" t="s">
        <v>11</v>
      </c>
      <c r="D4872" s="5" t="s">
        <v>12</v>
      </c>
      <c r="E4872" s="5" t="s">
        <v>4105</v>
      </c>
    </row>
    <row r="4873" spans="1:5" x14ac:dyDescent="0.25">
      <c r="A4873" s="5">
        <f>4865</f>
      </c>
      <c r="B4873" s="5" t="s">
        <v>4106</v>
      </c>
      <c r="C4873" s="5" t="s">
        <v>11</v>
      </c>
      <c r="D4873" s="5" t="s">
        <v>12</v>
      </c>
      <c r="E4873" s="5" t="s">
        <v>1067</v>
      </c>
    </row>
    <row r="4874" spans="1:5" x14ac:dyDescent="0.25">
      <c r="A4874" s="5">
        <f>4866</f>
      </c>
      <c r="B4874" s="5" t="s">
        <v>4107</v>
      </c>
      <c r="C4874" s="5" t="s">
        <v>11</v>
      </c>
      <c r="D4874" s="5" t="s">
        <v>12</v>
      </c>
      <c r="E4874" s="5" t="s">
        <v>3601</v>
      </c>
    </row>
    <row r="4875" spans="1:5" x14ac:dyDescent="0.25">
      <c r="A4875" s="5">
        <f>4867</f>
      </c>
      <c r="B4875" s="5" t="s">
        <v>4108</v>
      </c>
      <c r="C4875" s="5" t="s">
        <v>11</v>
      </c>
      <c r="D4875" s="5" t="s">
        <v>12</v>
      </c>
      <c r="E4875" s="5" t="s">
        <v>720</v>
      </c>
    </row>
    <row r="4876" spans="1:5" x14ac:dyDescent="0.25">
      <c r="A4876" s="5">
        <f>4868</f>
      </c>
      <c r="B4876" s="5" t="s">
        <v>4109</v>
      </c>
      <c r="C4876" s="5" t="s">
        <v>11</v>
      </c>
      <c r="D4876" s="5" t="s">
        <v>12</v>
      </c>
      <c r="E4876" s="5" t="s">
        <v>2883</v>
      </c>
    </row>
    <row r="4877" spans="1:5" x14ac:dyDescent="0.25">
      <c r="A4877" s="5">
        <f>4869</f>
      </c>
      <c r="B4877" s="5" t="s">
        <v>4110</v>
      </c>
      <c r="C4877" s="5" t="s">
        <v>11</v>
      </c>
      <c r="D4877" s="5" t="s">
        <v>12</v>
      </c>
      <c r="E4877" s="5" t="s">
        <v>2944</v>
      </c>
    </row>
    <row r="4878" spans="1:5" x14ac:dyDescent="0.25">
      <c r="A4878" s="5">
        <f>4870</f>
      </c>
      <c r="B4878" s="5" t="s">
        <v>4111</v>
      </c>
      <c r="C4878" s="5" t="s">
        <v>11</v>
      </c>
      <c r="D4878" s="5" t="s">
        <v>12</v>
      </c>
      <c r="E4878" s="5" t="s">
        <v>3754</v>
      </c>
    </row>
    <row r="4879" spans="1:5" x14ac:dyDescent="0.25">
      <c r="A4879" s="5">
        <f>4871</f>
      </c>
      <c r="B4879" s="5" t="s">
        <v>4112</v>
      </c>
      <c r="C4879" s="5" t="s">
        <v>11</v>
      </c>
      <c r="D4879" s="5" t="s">
        <v>12</v>
      </c>
      <c r="E4879" s="5" t="s">
        <v>2668</v>
      </c>
    </row>
    <row r="4880" spans="1:5" x14ac:dyDescent="0.25">
      <c r="A4880" s="5">
        <f>4872</f>
      </c>
      <c r="B4880" s="5" t="s">
        <v>4113</v>
      </c>
      <c r="C4880" s="5" t="s">
        <v>11</v>
      </c>
      <c r="D4880" s="5" t="s">
        <v>12</v>
      </c>
      <c r="E4880" s="5" t="s">
        <v>3571</v>
      </c>
    </row>
    <row r="4881" spans="1:5" x14ac:dyDescent="0.25">
      <c r="A4881" s="5">
        <f>4873</f>
      </c>
      <c r="B4881" s="5" t="s">
        <v>4114</v>
      </c>
      <c r="C4881" s="5" t="s">
        <v>11</v>
      </c>
      <c r="D4881" s="5" t="s">
        <v>12</v>
      </c>
      <c r="E4881" s="5" t="s">
        <v>2396</v>
      </c>
    </row>
    <row r="4882" spans="1:5" x14ac:dyDescent="0.25">
      <c r="A4882" s="5">
        <f>4874</f>
      </c>
      <c r="B4882" s="5" t="s">
        <v>4115</v>
      </c>
      <c r="C4882" s="5" t="s">
        <v>11</v>
      </c>
      <c r="D4882" s="5" t="s">
        <v>12</v>
      </c>
      <c r="E4882" s="5" t="s">
        <v>3922</v>
      </c>
    </row>
    <row r="4883" spans="1:5" x14ac:dyDescent="0.25">
      <c r="A4883" s="5">
        <f>4875</f>
      </c>
      <c r="B4883" s="5" t="s">
        <v>4116</v>
      </c>
      <c r="C4883" s="5" t="s">
        <v>11</v>
      </c>
      <c r="D4883" s="5" t="s">
        <v>12</v>
      </c>
      <c r="E4883" s="5" t="s">
        <v>879</v>
      </c>
    </row>
    <row r="4884" spans="1:5" x14ac:dyDescent="0.25">
      <c r="A4884" s="5">
        <f>4876</f>
      </c>
      <c r="B4884" s="5" t="s">
        <v>4117</v>
      </c>
      <c r="C4884" s="5" t="s">
        <v>11</v>
      </c>
      <c r="D4884" s="5" t="s">
        <v>12</v>
      </c>
      <c r="E4884" s="5" t="s">
        <v>2661</v>
      </c>
    </row>
    <row r="4885" spans="1:5" x14ac:dyDescent="0.25">
      <c r="A4885" s="5">
        <f>4877</f>
      </c>
      <c r="B4885" s="5" t="s">
        <v>4118</v>
      </c>
      <c r="C4885" s="5" t="s">
        <v>11</v>
      </c>
      <c r="D4885" s="5" t="s">
        <v>12</v>
      </c>
      <c r="E4885" s="5" t="s">
        <v>728</v>
      </c>
    </row>
    <row r="4886" spans="1:5" x14ac:dyDescent="0.25">
      <c r="A4886" s="5">
        <f>4878</f>
      </c>
      <c r="B4886" s="5" t="s">
        <v>4119</v>
      </c>
      <c r="C4886" s="5" t="s">
        <v>11</v>
      </c>
      <c r="D4886" s="5" t="s">
        <v>12</v>
      </c>
      <c r="E4886" s="5" t="s">
        <v>4120</v>
      </c>
    </row>
    <row r="4887" spans="1:5" x14ac:dyDescent="0.25">
      <c r="A4887" s="5">
        <f>4879</f>
      </c>
      <c r="B4887" s="5" t="s">
        <v>4121</v>
      </c>
      <c r="C4887" s="5" t="s">
        <v>11</v>
      </c>
      <c r="D4887" s="5" t="s">
        <v>12</v>
      </c>
      <c r="E4887" s="5" t="s">
        <v>720</v>
      </c>
    </row>
    <row r="4888" spans="1:5" x14ac:dyDescent="0.25">
      <c r="A4888" s="5">
        <f>4880</f>
      </c>
      <c r="B4888" s="5" t="s">
        <v>4122</v>
      </c>
      <c r="C4888" s="5" t="s">
        <v>11</v>
      </c>
      <c r="D4888" s="5" t="s">
        <v>12</v>
      </c>
      <c r="E4888" s="5" t="s">
        <v>963</v>
      </c>
    </row>
    <row r="4889" spans="1:5" x14ac:dyDescent="0.25">
      <c r="A4889" s="5">
        <f>4881</f>
      </c>
      <c r="B4889" s="5" t="s">
        <v>4123</v>
      </c>
      <c r="C4889" s="5" t="s">
        <v>11</v>
      </c>
      <c r="D4889" s="5" t="s">
        <v>12</v>
      </c>
      <c r="E4889" s="5" t="s">
        <v>2600</v>
      </c>
    </row>
    <row r="4890" spans="1:5" x14ac:dyDescent="0.25">
      <c r="A4890" s="5">
        <f>4882</f>
      </c>
      <c r="B4890" s="5" t="s">
        <v>4124</v>
      </c>
      <c r="C4890" s="5" t="s">
        <v>11</v>
      </c>
      <c r="D4890" s="5" t="s">
        <v>12</v>
      </c>
      <c r="E4890" s="5" t="s">
        <v>3759</v>
      </c>
    </row>
    <row r="4891" spans="1:5" x14ac:dyDescent="0.25">
      <c r="A4891" s="5">
        <f>4883</f>
      </c>
      <c r="B4891" s="5" t="s">
        <v>4125</v>
      </c>
      <c r="C4891" s="5" t="s">
        <v>11</v>
      </c>
      <c r="D4891" s="5" t="s">
        <v>12</v>
      </c>
      <c r="E4891" s="5" t="s">
        <v>4105</v>
      </c>
    </row>
    <row r="4892" spans="1:5" x14ac:dyDescent="0.25">
      <c r="A4892" s="5">
        <f>4884</f>
      </c>
      <c r="B4892" s="5" t="s">
        <v>4126</v>
      </c>
      <c r="C4892" s="5" t="s">
        <v>11</v>
      </c>
      <c r="D4892" s="5" t="s">
        <v>12</v>
      </c>
      <c r="E4892" s="5" t="s">
        <v>2257</v>
      </c>
    </row>
    <row r="4893" spans="1:5" x14ac:dyDescent="0.25">
      <c r="A4893" s="5">
        <f>4885</f>
      </c>
      <c r="B4893" s="5" t="s">
        <v>4127</v>
      </c>
      <c r="C4893" s="5" t="s">
        <v>11</v>
      </c>
      <c r="D4893" s="5" t="s">
        <v>12</v>
      </c>
      <c r="E4893" s="5" t="s">
        <v>3709</v>
      </c>
    </row>
    <row r="4894" spans="1:5" x14ac:dyDescent="0.25">
      <c r="A4894" s="5">
        <f>4886</f>
      </c>
      <c r="B4894" s="5" t="s">
        <v>4128</v>
      </c>
      <c r="C4894" s="5" t="s">
        <v>11</v>
      </c>
      <c r="D4894" s="5" t="s">
        <v>12</v>
      </c>
      <c r="E4894" s="5" t="s">
        <v>2400</v>
      </c>
    </row>
    <row r="4895" spans="1:5" x14ac:dyDescent="0.25">
      <c r="A4895" s="5">
        <f>4887</f>
      </c>
      <c r="B4895" s="5" t="s">
        <v>4129</v>
      </c>
      <c r="C4895" s="5" t="s">
        <v>11</v>
      </c>
      <c r="D4895" s="5" t="s">
        <v>12</v>
      </c>
      <c r="E4895" s="5" t="s">
        <v>4130</v>
      </c>
    </row>
    <row r="4896" spans="1:5" x14ac:dyDescent="0.25">
      <c r="A4896" s="5">
        <f>4888</f>
      </c>
      <c r="B4896" s="5" t="s">
        <v>4131</v>
      </c>
      <c r="C4896" s="5" t="s">
        <v>11</v>
      </c>
      <c r="D4896" s="5" t="s">
        <v>12</v>
      </c>
      <c r="E4896" s="5" t="s">
        <v>4132</v>
      </c>
    </row>
    <row r="4897" spans="1:5" x14ac:dyDescent="0.25">
      <c r="A4897" s="5">
        <f>4889</f>
      </c>
      <c r="B4897" s="5" t="s">
        <v>4133</v>
      </c>
      <c r="C4897" s="5" t="s">
        <v>11</v>
      </c>
      <c r="D4897" s="5" t="s">
        <v>12</v>
      </c>
      <c r="E4897" s="5" t="s">
        <v>4018</v>
      </c>
    </row>
    <row r="4898" spans="1:5" x14ac:dyDescent="0.25">
      <c r="A4898" s="5">
        <f>4890</f>
      </c>
      <c r="B4898" s="5" t="s">
        <v>4134</v>
      </c>
      <c r="C4898" s="5" t="s">
        <v>11</v>
      </c>
      <c r="D4898" s="5" t="s">
        <v>12</v>
      </c>
      <c r="E4898" s="5" t="s">
        <v>3433</v>
      </c>
    </row>
    <row r="4899" spans="1:5" x14ac:dyDescent="0.25">
      <c r="A4899" s="5">
        <f>4891</f>
      </c>
      <c r="B4899" s="5" t="s">
        <v>4135</v>
      </c>
      <c r="C4899" s="5" t="s">
        <v>11</v>
      </c>
      <c r="D4899" s="5" t="s">
        <v>12</v>
      </c>
      <c r="E4899" s="5" t="s">
        <v>966</v>
      </c>
    </row>
    <row r="4900" spans="1:5" x14ac:dyDescent="0.25">
      <c r="A4900" s="5">
        <f>4892</f>
      </c>
      <c r="B4900" s="5" t="s">
        <v>4136</v>
      </c>
      <c r="C4900" s="5" t="s">
        <v>11</v>
      </c>
      <c r="D4900" s="5" t="s">
        <v>12</v>
      </c>
      <c r="E4900" s="5" t="s">
        <v>2394</v>
      </c>
    </row>
    <row r="4901" spans="1:5" x14ac:dyDescent="0.25">
      <c r="A4901" s="5">
        <f>4893</f>
      </c>
      <c r="B4901" s="5" t="s">
        <v>4137</v>
      </c>
      <c r="C4901" s="5" t="s">
        <v>11</v>
      </c>
      <c r="D4901" s="5" t="s">
        <v>12</v>
      </c>
      <c r="E4901" s="5" t="s">
        <v>3430</v>
      </c>
    </row>
    <row r="4902" spans="1:5" x14ac:dyDescent="0.25">
      <c r="A4902" s="5">
        <f>4894</f>
      </c>
      <c r="B4902" s="5" t="s">
        <v>4138</v>
      </c>
      <c r="C4902" s="5" t="s">
        <v>11</v>
      </c>
      <c r="D4902" s="5" t="s">
        <v>12</v>
      </c>
      <c r="E4902" s="5" t="s">
        <v>2648</v>
      </c>
    </row>
    <row r="4903" spans="1:5" x14ac:dyDescent="0.25">
      <c r="A4903" s="5">
        <f>4895</f>
      </c>
      <c r="B4903" s="5" t="s">
        <v>4139</v>
      </c>
      <c r="C4903" s="5" t="s">
        <v>11</v>
      </c>
      <c r="D4903" s="5" t="s">
        <v>12</v>
      </c>
      <c r="E4903" s="5" t="s">
        <v>2668</v>
      </c>
    </row>
    <row r="4904" spans="1:5" x14ac:dyDescent="0.25">
      <c r="A4904" s="5">
        <f>4896</f>
      </c>
      <c r="B4904" s="5" t="s">
        <v>4140</v>
      </c>
      <c r="C4904" s="5" t="s">
        <v>11</v>
      </c>
      <c r="D4904" s="5" t="s">
        <v>12</v>
      </c>
      <c r="E4904" s="5" t="s">
        <v>2575</v>
      </c>
    </row>
    <row r="4905" spans="1:5" x14ac:dyDescent="0.25">
      <c r="A4905" s="5">
        <f>4897</f>
      </c>
      <c r="B4905" s="5" t="s">
        <v>4141</v>
      </c>
      <c r="C4905" s="5" t="s">
        <v>11</v>
      </c>
      <c r="D4905" s="5" t="s">
        <v>12</v>
      </c>
      <c r="E4905" s="5" t="s">
        <v>4142</v>
      </c>
    </row>
    <row r="4906" spans="1:5" x14ac:dyDescent="0.25">
      <c r="A4906" s="5">
        <f>4898</f>
      </c>
      <c r="B4906" s="5" t="s">
        <v>4143</v>
      </c>
      <c r="C4906" s="5" t="s">
        <v>11</v>
      </c>
      <c r="D4906" s="5" t="s">
        <v>12</v>
      </c>
      <c r="E4906" s="5" t="s">
        <v>4132</v>
      </c>
    </row>
    <row r="4907" spans="1:5" x14ac:dyDescent="0.25">
      <c r="A4907" s="5">
        <f>4899</f>
      </c>
      <c r="B4907" s="5" t="s">
        <v>4144</v>
      </c>
      <c r="C4907" s="5" t="s">
        <v>11</v>
      </c>
      <c r="D4907" s="5" t="s">
        <v>12</v>
      </c>
      <c r="E4907" s="5" t="s">
        <v>996</v>
      </c>
    </row>
    <row r="4908" spans="1:5" x14ac:dyDescent="0.25">
      <c r="A4908" s="5">
        <f>4900</f>
      </c>
      <c r="B4908" s="5" t="s">
        <v>4145</v>
      </c>
      <c r="C4908" s="5" t="s">
        <v>11</v>
      </c>
      <c r="D4908" s="5" t="s">
        <v>12</v>
      </c>
      <c r="E4908" s="5" t="s">
        <v>787</v>
      </c>
    </row>
    <row r="4909" spans="1:5" x14ac:dyDescent="0.25">
      <c r="A4909" s="5">
        <f>4901</f>
      </c>
      <c r="B4909" s="5" t="s">
        <v>4146</v>
      </c>
      <c r="C4909" s="5" t="s">
        <v>11</v>
      </c>
      <c r="D4909" s="5" t="s">
        <v>12</v>
      </c>
      <c r="E4909" s="5" t="s">
        <v>3549</v>
      </c>
    </row>
    <row r="4910" spans="1:5" x14ac:dyDescent="0.25">
      <c r="A4910" s="5">
        <f>4902</f>
      </c>
      <c r="B4910" s="5" t="s">
        <v>4147</v>
      </c>
      <c r="C4910" s="5" t="s">
        <v>11</v>
      </c>
      <c r="D4910" s="5" t="s">
        <v>12</v>
      </c>
      <c r="E4910" s="5" t="s">
        <v>722</v>
      </c>
    </row>
    <row r="4911" spans="1:5" x14ac:dyDescent="0.25">
      <c r="A4911" s="5">
        <f>4903</f>
      </c>
      <c r="B4911" s="5" t="s">
        <v>4148</v>
      </c>
      <c r="C4911" s="5" t="s">
        <v>11</v>
      </c>
      <c r="D4911" s="5" t="s">
        <v>12</v>
      </c>
      <c r="E4911" s="5" t="s">
        <v>835</v>
      </c>
    </row>
    <row r="4912" spans="1:5" x14ac:dyDescent="0.25">
      <c r="A4912" s="5">
        <f>4904</f>
      </c>
      <c r="B4912" s="5" t="s">
        <v>4149</v>
      </c>
      <c r="C4912" s="5" t="s">
        <v>11</v>
      </c>
      <c r="D4912" s="5" t="s">
        <v>12</v>
      </c>
      <c r="E4912" s="5" t="s">
        <v>3922</v>
      </c>
    </row>
    <row r="4913" spans="1:5" x14ac:dyDescent="0.25">
      <c r="A4913" s="5">
        <f>4905</f>
      </c>
      <c r="B4913" s="5" t="s">
        <v>4150</v>
      </c>
      <c r="C4913" s="5" t="s">
        <v>11</v>
      </c>
      <c r="D4913" s="5" t="s">
        <v>12</v>
      </c>
      <c r="E4913" s="5" t="s">
        <v>4151</v>
      </c>
    </row>
    <row r="4914" spans="1:5" x14ac:dyDescent="0.25">
      <c r="A4914" s="5">
        <f>4906</f>
      </c>
      <c r="B4914" s="5" t="s">
        <v>4152</v>
      </c>
      <c r="C4914" s="5" t="s">
        <v>11</v>
      </c>
      <c r="D4914" s="5" t="s">
        <v>12</v>
      </c>
      <c r="E4914" s="5" t="s">
        <v>3709</v>
      </c>
    </row>
    <row r="4915" spans="1:5" x14ac:dyDescent="0.25">
      <c r="A4915" s="5">
        <f>4907</f>
      </c>
      <c r="B4915" s="5" t="s">
        <v>4153</v>
      </c>
      <c r="C4915" s="5" t="s">
        <v>11</v>
      </c>
      <c r="D4915" s="5" t="s">
        <v>12</v>
      </c>
      <c r="E4915" s="5" t="s">
        <v>787</v>
      </c>
    </row>
    <row r="4916" spans="1:5" x14ac:dyDescent="0.25">
      <c r="A4916" s="5">
        <f>4908</f>
      </c>
      <c r="B4916" s="5" t="s">
        <v>4154</v>
      </c>
      <c r="C4916" s="5" t="s">
        <v>11</v>
      </c>
      <c r="D4916" s="5" t="s">
        <v>12</v>
      </c>
      <c r="E4916" s="5" t="s">
        <v>3586</v>
      </c>
    </row>
    <row r="4917" spans="1:5" x14ac:dyDescent="0.25">
      <c r="A4917" s="5">
        <f>4909</f>
      </c>
      <c r="B4917" s="5" t="s">
        <v>4155</v>
      </c>
      <c r="C4917" s="5" t="s">
        <v>11</v>
      </c>
      <c r="D4917" s="5" t="s">
        <v>12</v>
      </c>
      <c r="E4917" s="5" t="s">
        <v>4156</v>
      </c>
    </row>
    <row r="4918" spans="1:5" x14ac:dyDescent="0.25">
      <c r="A4918" s="5">
        <f>4910</f>
      </c>
      <c r="B4918" s="5" t="s">
        <v>4157</v>
      </c>
      <c r="C4918" s="5" t="s">
        <v>11</v>
      </c>
      <c r="D4918" s="5" t="s">
        <v>12</v>
      </c>
      <c r="E4918" s="5" t="s">
        <v>875</v>
      </c>
    </row>
    <row r="4919" spans="1:5" x14ac:dyDescent="0.25">
      <c r="A4919" s="5">
        <f>4911</f>
      </c>
      <c r="B4919" s="5" t="s">
        <v>4158</v>
      </c>
      <c r="C4919" s="5" t="s">
        <v>11</v>
      </c>
      <c r="D4919" s="5" t="s">
        <v>12</v>
      </c>
      <c r="E4919" s="5" t="s">
        <v>728</v>
      </c>
    </row>
    <row r="4920" spans="1:5" x14ac:dyDescent="0.25">
      <c r="A4920" s="5">
        <f>4912</f>
      </c>
      <c r="B4920" s="5" t="s">
        <v>4159</v>
      </c>
      <c r="C4920" s="5" t="s">
        <v>11</v>
      </c>
      <c r="D4920" s="5" t="s">
        <v>12</v>
      </c>
      <c r="E4920" s="5" t="s">
        <v>2325</v>
      </c>
    </row>
    <row r="4921" spans="1:5" x14ac:dyDescent="0.25">
      <c r="A4921" s="5">
        <f>4913</f>
      </c>
      <c r="B4921" s="5" t="s">
        <v>4160</v>
      </c>
      <c r="C4921" s="5" t="s">
        <v>11</v>
      </c>
      <c r="D4921" s="5" t="s">
        <v>12</v>
      </c>
      <c r="E4921" s="5" t="s">
        <v>879</v>
      </c>
    </row>
    <row r="4922" spans="1:5" x14ac:dyDescent="0.25">
      <c r="A4922" s="5">
        <f>4914</f>
      </c>
      <c r="B4922" s="5" t="s">
        <v>4161</v>
      </c>
      <c r="C4922" s="5" t="s">
        <v>11</v>
      </c>
      <c r="D4922" s="5" t="s">
        <v>12</v>
      </c>
      <c r="E4922" s="5" t="s">
        <v>3678</v>
      </c>
    </row>
    <row r="4923" spans="1:5" x14ac:dyDescent="0.25">
      <c r="A4923" s="5">
        <f>4915</f>
      </c>
      <c r="B4923" s="5" t="s">
        <v>4162</v>
      </c>
      <c r="C4923" s="5" t="s">
        <v>11</v>
      </c>
      <c r="D4923" s="5" t="s">
        <v>12</v>
      </c>
      <c r="E4923" s="5" t="s">
        <v>2622</v>
      </c>
    </row>
    <row r="4924" spans="1:5" x14ac:dyDescent="0.25">
      <c r="A4924" s="5">
        <f>4916</f>
      </c>
      <c r="B4924" s="5" t="s">
        <v>4163</v>
      </c>
      <c r="C4924" s="5" t="s">
        <v>11</v>
      </c>
      <c r="D4924" s="5" t="s">
        <v>12</v>
      </c>
      <c r="E4924" s="5" t="s">
        <v>4164</v>
      </c>
    </row>
    <row r="4925" spans="1:5" x14ac:dyDescent="0.25">
      <c r="A4925" s="5">
        <f>4917</f>
      </c>
      <c r="B4925" s="5" t="s">
        <v>4165</v>
      </c>
      <c r="C4925" s="5" t="s">
        <v>11</v>
      </c>
      <c r="D4925" s="5" t="s">
        <v>12</v>
      </c>
      <c r="E4925" s="5" t="s">
        <v>2876</v>
      </c>
    </row>
    <row r="4926" spans="1:5" x14ac:dyDescent="0.25">
      <c r="A4926" s="5">
        <f>4918</f>
      </c>
      <c r="B4926" s="5" t="s">
        <v>4166</v>
      </c>
      <c r="C4926" s="5" t="s">
        <v>11</v>
      </c>
      <c r="D4926" s="5" t="s">
        <v>12</v>
      </c>
      <c r="E4926" s="5" t="s">
        <v>736</v>
      </c>
    </row>
    <row r="4927" spans="1:5" x14ac:dyDescent="0.25">
      <c r="A4927" s="5">
        <f>4919</f>
      </c>
      <c r="B4927" s="5" t="s">
        <v>4167</v>
      </c>
      <c r="C4927" s="5" t="s">
        <v>11</v>
      </c>
      <c r="D4927" s="5" t="s">
        <v>12</v>
      </c>
      <c r="E4927" s="5" t="s">
        <v>819</v>
      </c>
    </row>
    <row r="4928" spans="1:5" x14ac:dyDescent="0.25">
      <c r="A4928" s="5">
        <f>4920</f>
      </c>
      <c r="B4928" s="5" t="s">
        <v>4168</v>
      </c>
      <c r="C4928" s="5" t="s">
        <v>11</v>
      </c>
      <c r="D4928" s="5" t="s">
        <v>12</v>
      </c>
      <c r="E4928" s="5" t="s">
        <v>4039</v>
      </c>
    </row>
    <row r="4929" spans="1:5" x14ac:dyDescent="0.25">
      <c r="A4929" s="5">
        <f>4921</f>
      </c>
      <c r="B4929" s="5" t="s">
        <v>4169</v>
      </c>
      <c r="C4929" s="5" t="s">
        <v>11</v>
      </c>
      <c r="D4929" s="5" t="s">
        <v>12</v>
      </c>
      <c r="E4929" s="5" t="s">
        <v>4120</v>
      </c>
    </row>
    <row r="4930" spans="1:5" x14ac:dyDescent="0.25">
      <c r="A4930" s="5">
        <f>4922</f>
      </c>
      <c r="B4930" s="5" t="s">
        <v>4170</v>
      </c>
      <c r="C4930" s="5" t="s">
        <v>11</v>
      </c>
      <c r="D4930" s="5" t="s">
        <v>12</v>
      </c>
      <c r="E4930" s="5" t="s">
        <v>3378</v>
      </c>
    </row>
    <row r="4931" spans="1:5" x14ac:dyDescent="0.25">
      <c r="A4931" s="5">
        <f>4923</f>
      </c>
      <c r="B4931" s="5" t="s">
        <v>4171</v>
      </c>
      <c r="C4931" s="5" t="s">
        <v>11</v>
      </c>
      <c r="D4931" s="5" t="s">
        <v>12</v>
      </c>
      <c r="E4931" s="5" t="s">
        <v>2579</v>
      </c>
    </row>
    <row r="4932" spans="1:5" x14ac:dyDescent="0.25">
      <c r="A4932" s="5">
        <f>4924</f>
      </c>
      <c r="B4932" s="5" t="s">
        <v>4172</v>
      </c>
      <c r="C4932" s="5" t="s">
        <v>11</v>
      </c>
      <c r="D4932" s="5" t="s">
        <v>12</v>
      </c>
      <c r="E4932" s="5" t="s">
        <v>3586</v>
      </c>
    </row>
    <row r="4933" spans="1:5" x14ac:dyDescent="0.25">
      <c r="A4933" s="5">
        <f>4925</f>
      </c>
      <c r="B4933" s="5" t="s">
        <v>4173</v>
      </c>
      <c r="C4933" s="5" t="s">
        <v>11</v>
      </c>
      <c r="D4933" s="5" t="s">
        <v>12</v>
      </c>
      <c r="E4933" s="5" t="s">
        <v>2671</v>
      </c>
    </row>
    <row r="4934" spans="1:5" x14ac:dyDescent="0.25">
      <c r="A4934" s="5">
        <f>4926</f>
      </c>
      <c r="B4934" s="5" t="s">
        <v>4174</v>
      </c>
      <c r="C4934" s="5" t="s">
        <v>11</v>
      </c>
      <c r="D4934" s="5" t="s">
        <v>12</v>
      </c>
      <c r="E4934" s="5" t="s">
        <v>3536</v>
      </c>
    </row>
    <row r="4935" spans="1:5" x14ac:dyDescent="0.25">
      <c r="A4935" s="5">
        <f>4927</f>
      </c>
      <c r="B4935" s="5" t="s">
        <v>4175</v>
      </c>
      <c r="C4935" s="5" t="s">
        <v>11</v>
      </c>
      <c r="D4935" s="5" t="s">
        <v>12</v>
      </c>
      <c r="E4935" s="5" t="s">
        <v>3536</v>
      </c>
    </row>
    <row r="4936" spans="1:5" x14ac:dyDescent="0.25">
      <c r="A4936" s="5">
        <f>4928</f>
      </c>
      <c r="B4936" s="5" t="s">
        <v>4176</v>
      </c>
      <c r="C4936" s="5" t="s">
        <v>11</v>
      </c>
      <c r="D4936" s="5" t="s">
        <v>12</v>
      </c>
      <c r="E4936" s="5" t="s">
        <v>3536</v>
      </c>
    </row>
    <row r="4937" spans="1:5" x14ac:dyDescent="0.25">
      <c r="A4937" s="5">
        <f>4929</f>
      </c>
      <c r="B4937" s="5" t="s">
        <v>4177</v>
      </c>
      <c r="C4937" s="5" t="s">
        <v>11</v>
      </c>
      <c r="D4937" s="5" t="s">
        <v>12</v>
      </c>
      <c r="E4937" s="5" t="s">
        <v>3536</v>
      </c>
    </row>
    <row r="4938" spans="1:5" x14ac:dyDescent="0.25">
      <c r="A4938" s="5">
        <f>4930</f>
      </c>
      <c r="B4938" s="5" t="s">
        <v>4178</v>
      </c>
      <c r="C4938" s="5" t="s">
        <v>11</v>
      </c>
      <c r="D4938" s="5" t="s">
        <v>12</v>
      </c>
      <c r="E4938" s="5" t="s">
        <v>3536</v>
      </c>
    </row>
    <row r="4939" spans="1:5" x14ac:dyDescent="0.25">
      <c r="A4939" s="5">
        <f>4931</f>
      </c>
      <c r="B4939" s="5" t="s">
        <v>4179</v>
      </c>
      <c r="C4939" s="5" t="s">
        <v>11</v>
      </c>
      <c r="D4939" s="5" t="s">
        <v>12</v>
      </c>
      <c r="E4939" s="5" t="s">
        <v>3536</v>
      </c>
    </row>
    <row r="4940" spans="1:5" x14ac:dyDescent="0.25">
      <c r="A4940" s="5">
        <f>4932</f>
      </c>
      <c r="B4940" s="5" t="s">
        <v>4180</v>
      </c>
      <c r="C4940" s="5" t="s">
        <v>11</v>
      </c>
      <c r="D4940" s="5" t="s">
        <v>12</v>
      </c>
      <c r="E4940" s="5" t="s">
        <v>3536</v>
      </c>
    </row>
    <row r="4941" spans="1:5" x14ac:dyDescent="0.25">
      <c r="A4941" s="5">
        <f>4933</f>
      </c>
      <c r="B4941" s="5" t="s">
        <v>4181</v>
      </c>
      <c r="C4941" s="5" t="s">
        <v>11</v>
      </c>
      <c r="D4941" s="5" t="s">
        <v>12</v>
      </c>
      <c r="E4941" s="5" t="s">
        <v>3536</v>
      </c>
    </row>
    <row r="4942" spans="1:5" x14ac:dyDescent="0.25">
      <c r="A4942" s="5">
        <f>4934</f>
      </c>
      <c r="B4942" s="5" t="s">
        <v>4182</v>
      </c>
      <c r="C4942" s="5" t="s">
        <v>11</v>
      </c>
      <c r="D4942" s="5" t="s">
        <v>12</v>
      </c>
      <c r="E4942" s="5" t="s">
        <v>3536</v>
      </c>
    </row>
    <row r="4943" spans="1:5" x14ac:dyDescent="0.25">
      <c r="A4943" s="5">
        <f>4935</f>
      </c>
      <c r="B4943" s="5" t="s">
        <v>4183</v>
      </c>
      <c r="C4943" s="5" t="s">
        <v>11</v>
      </c>
      <c r="D4943" s="5" t="s">
        <v>12</v>
      </c>
      <c r="E4943" s="5" t="s">
        <v>3536</v>
      </c>
    </row>
    <row r="4944" spans="1:5" x14ac:dyDescent="0.25">
      <c r="A4944" s="5">
        <f>4936</f>
      </c>
      <c r="B4944" s="5" t="s">
        <v>4184</v>
      </c>
      <c r="C4944" s="5" t="s">
        <v>11</v>
      </c>
      <c r="D4944" s="5" t="s">
        <v>12</v>
      </c>
      <c r="E4944" s="5" t="s">
        <v>3536</v>
      </c>
    </row>
    <row r="4945" spans="1:5" x14ac:dyDescent="0.25">
      <c r="A4945" s="5">
        <f>4937</f>
      </c>
      <c r="B4945" s="5" t="s">
        <v>4185</v>
      </c>
      <c r="C4945" s="5" t="s">
        <v>11</v>
      </c>
      <c r="D4945" s="5" t="s">
        <v>12</v>
      </c>
      <c r="E4945" s="5" t="s">
        <v>3536</v>
      </c>
    </row>
    <row r="4946" spans="1:5" x14ac:dyDescent="0.25">
      <c r="A4946" s="5">
        <f>4938</f>
      </c>
      <c r="B4946" s="5" t="s">
        <v>4186</v>
      </c>
      <c r="C4946" s="5" t="s">
        <v>11</v>
      </c>
      <c r="D4946" s="5" t="s">
        <v>12</v>
      </c>
      <c r="E4946" s="5" t="s">
        <v>3536</v>
      </c>
    </row>
    <row r="4947" spans="1:5" x14ac:dyDescent="0.25">
      <c r="A4947" s="5">
        <f>4939</f>
      </c>
      <c r="B4947" s="5" t="s">
        <v>4187</v>
      </c>
      <c r="C4947" s="5" t="s">
        <v>11</v>
      </c>
      <c r="D4947" s="5" t="s">
        <v>12</v>
      </c>
      <c r="E4947" s="5" t="s">
        <v>3536</v>
      </c>
    </row>
    <row r="4948" spans="1:5" x14ac:dyDescent="0.25">
      <c r="A4948" s="5">
        <f>4940</f>
      </c>
      <c r="B4948" s="5" t="s">
        <v>4188</v>
      </c>
      <c r="C4948" s="5" t="s">
        <v>11</v>
      </c>
      <c r="D4948" s="5" t="s">
        <v>12</v>
      </c>
      <c r="E4948" s="5" t="s">
        <v>3536</v>
      </c>
    </row>
    <row r="4949" spans="1:5" x14ac:dyDescent="0.25">
      <c r="A4949" s="5">
        <f>4941</f>
      </c>
      <c r="B4949" s="5" t="s">
        <v>4189</v>
      </c>
      <c r="C4949" s="5" t="s">
        <v>11</v>
      </c>
      <c r="D4949" s="5" t="s">
        <v>12</v>
      </c>
      <c r="E4949" s="5" t="s">
        <v>3536</v>
      </c>
    </row>
    <row r="4950" spans="1:5" x14ac:dyDescent="0.25">
      <c r="A4950" s="5">
        <f>4942</f>
      </c>
      <c r="B4950" s="5" t="s">
        <v>4190</v>
      </c>
      <c r="C4950" s="5" t="s">
        <v>11</v>
      </c>
      <c r="D4950" s="5" t="s">
        <v>12</v>
      </c>
      <c r="E4950" s="5" t="s">
        <v>3536</v>
      </c>
    </row>
    <row r="4951" spans="1:5" x14ac:dyDescent="0.25">
      <c r="A4951" s="5">
        <f>4943</f>
      </c>
      <c r="B4951" s="5" t="s">
        <v>4191</v>
      </c>
      <c r="C4951" s="5" t="s">
        <v>11</v>
      </c>
      <c r="D4951" s="5" t="s">
        <v>12</v>
      </c>
      <c r="E4951" s="5" t="s">
        <v>3536</v>
      </c>
    </row>
    <row r="4952" spans="1:5" x14ac:dyDescent="0.25">
      <c r="A4952" s="5">
        <f>4944</f>
      </c>
      <c r="B4952" s="5" t="s">
        <v>4192</v>
      </c>
      <c r="C4952" s="5" t="s">
        <v>11</v>
      </c>
      <c r="D4952" s="5" t="s">
        <v>12</v>
      </c>
      <c r="E4952" s="5" t="s">
        <v>3536</v>
      </c>
    </row>
    <row r="4953" spans="1:5" x14ac:dyDescent="0.25">
      <c r="A4953" s="5">
        <f>4945</f>
      </c>
      <c r="B4953" s="5" t="s">
        <v>4193</v>
      </c>
      <c r="C4953" s="5" t="s">
        <v>11</v>
      </c>
      <c r="D4953" s="5" t="s">
        <v>12</v>
      </c>
      <c r="E4953" s="5" t="s">
        <v>3536</v>
      </c>
    </row>
    <row r="4954" spans="1:5" x14ac:dyDescent="0.25">
      <c r="A4954" s="5">
        <f>4946</f>
      </c>
      <c r="B4954" s="5" t="s">
        <v>4194</v>
      </c>
      <c r="C4954" s="5" t="s">
        <v>11</v>
      </c>
      <c r="D4954" s="5" t="s">
        <v>12</v>
      </c>
      <c r="E4954" s="5" t="s">
        <v>3536</v>
      </c>
    </row>
    <row r="4955" spans="1:5" x14ac:dyDescent="0.25">
      <c r="A4955" s="5">
        <f>4947</f>
      </c>
      <c r="B4955" s="5" t="s">
        <v>4195</v>
      </c>
      <c r="C4955" s="5" t="s">
        <v>11</v>
      </c>
      <c r="D4955" s="5" t="s">
        <v>12</v>
      </c>
      <c r="E4955" s="5" t="s">
        <v>3536</v>
      </c>
    </row>
    <row r="4956" spans="1:5" x14ac:dyDescent="0.25">
      <c r="A4956" s="5">
        <f>4948</f>
      </c>
      <c r="B4956" s="5" t="s">
        <v>4196</v>
      </c>
      <c r="C4956" s="5" t="s">
        <v>11</v>
      </c>
      <c r="D4956" s="5" t="s">
        <v>12</v>
      </c>
      <c r="E4956" s="5" t="s">
        <v>3536</v>
      </c>
    </row>
    <row r="4957" spans="1:5" x14ac:dyDescent="0.25">
      <c r="A4957" s="5">
        <f>4949</f>
      </c>
      <c r="B4957" s="5" t="s">
        <v>4197</v>
      </c>
      <c r="C4957" s="5" t="s">
        <v>11</v>
      </c>
      <c r="D4957" s="5" t="s">
        <v>12</v>
      </c>
      <c r="E4957" s="5" t="s">
        <v>3536</v>
      </c>
    </row>
    <row r="4958" spans="1:5" x14ac:dyDescent="0.25">
      <c r="A4958" s="5">
        <f>4950</f>
      </c>
      <c r="B4958" s="5" t="s">
        <v>4198</v>
      </c>
      <c r="C4958" s="5" t="s">
        <v>11</v>
      </c>
      <c r="D4958" s="5" t="s">
        <v>12</v>
      </c>
      <c r="E4958" s="5" t="s">
        <v>3536</v>
      </c>
    </row>
    <row r="4959" spans="1:5" x14ac:dyDescent="0.25">
      <c r="A4959" s="5">
        <f>4951</f>
      </c>
      <c r="B4959" s="5" t="s">
        <v>4199</v>
      </c>
      <c r="C4959" s="5" t="s">
        <v>11</v>
      </c>
      <c r="D4959" s="5" t="s">
        <v>12</v>
      </c>
      <c r="E4959" s="5" t="s">
        <v>3536</v>
      </c>
    </row>
    <row r="4960" spans="1:5" x14ac:dyDescent="0.25">
      <c r="A4960" s="5">
        <f>4952</f>
      </c>
      <c r="B4960" s="5" t="s">
        <v>4200</v>
      </c>
      <c r="C4960" s="5" t="s">
        <v>11</v>
      </c>
      <c r="D4960" s="5" t="s">
        <v>12</v>
      </c>
      <c r="E4960" s="5" t="s">
        <v>3536</v>
      </c>
    </row>
    <row r="4961" spans="1:5" x14ac:dyDescent="0.25">
      <c r="A4961" s="5">
        <f>4953</f>
      </c>
      <c r="B4961" s="5" t="s">
        <v>4201</v>
      </c>
      <c r="C4961" s="5" t="s">
        <v>11</v>
      </c>
      <c r="D4961" s="5" t="s">
        <v>12</v>
      </c>
      <c r="E4961" s="5" t="s">
        <v>3536</v>
      </c>
    </row>
    <row r="4962" spans="1:5" x14ac:dyDescent="0.25">
      <c r="A4962" s="5">
        <f>4954</f>
      </c>
      <c r="B4962" s="5" t="s">
        <v>4202</v>
      </c>
      <c r="C4962" s="5" t="s">
        <v>11</v>
      </c>
      <c r="D4962" s="5" t="s">
        <v>12</v>
      </c>
      <c r="E4962" s="5" t="s">
        <v>3536</v>
      </c>
    </row>
    <row r="4963" spans="1:5" x14ac:dyDescent="0.25">
      <c r="A4963" s="5">
        <f>4955</f>
      </c>
      <c r="B4963" s="5" t="s">
        <v>4203</v>
      </c>
      <c r="C4963" s="5" t="s">
        <v>11</v>
      </c>
      <c r="D4963" s="5" t="s">
        <v>12</v>
      </c>
      <c r="E4963" s="5" t="s">
        <v>3536</v>
      </c>
    </row>
    <row r="4964" spans="1:5" x14ac:dyDescent="0.25">
      <c r="A4964" s="5">
        <f>4956</f>
      </c>
      <c r="B4964" s="5" t="s">
        <v>4204</v>
      </c>
      <c r="C4964" s="5" t="s">
        <v>11</v>
      </c>
      <c r="D4964" s="5" t="s">
        <v>12</v>
      </c>
      <c r="E4964" s="5" t="s">
        <v>3536</v>
      </c>
    </row>
    <row r="4965" spans="1:5" x14ac:dyDescent="0.25">
      <c r="A4965" s="5">
        <f>4957</f>
      </c>
      <c r="B4965" s="5" t="s">
        <v>4205</v>
      </c>
      <c r="C4965" s="5" t="s">
        <v>11</v>
      </c>
      <c r="D4965" s="5" t="s">
        <v>12</v>
      </c>
      <c r="E4965" s="5" t="s">
        <v>3536</v>
      </c>
    </row>
    <row r="4966" spans="1:5" x14ac:dyDescent="0.25">
      <c r="A4966" s="5">
        <f>4958</f>
      </c>
      <c r="B4966" s="5" t="s">
        <v>4206</v>
      </c>
      <c r="C4966" s="5" t="s">
        <v>11</v>
      </c>
      <c r="D4966" s="5" t="s">
        <v>12</v>
      </c>
      <c r="E4966" s="5" t="s">
        <v>3536</v>
      </c>
    </row>
    <row r="4967" spans="1:5" x14ac:dyDescent="0.25">
      <c r="A4967" s="5">
        <f>4959</f>
      </c>
      <c r="B4967" s="5" t="s">
        <v>4207</v>
      </c>
      <c r="C4967" s="5" t="s">
        <v>11</v>
      </c>
      <c r="D4967" s="5" t="s">
        <v>12</v>
      </c>
      <c r="E4967" s="5" t="s">
        <v>3536</v>
      </c>
    </row>
    <row r="4968" spans="1:5" x14ac:dyDescent="0.25">
      <c r="A4968" s="5">
        <f>4960</f>
      </c>
      <c r="B4968" s="5" t="s">
        <v>4208</v>
      </c>
      <c r="C4968" s="5" t="s">
        <v>11</v>
      </c>
      <c r="D4968" s="5" t="s">
        <v>12</v>
      </c>
      <c r="E4968" s="5" t="s">
        <v>3536</v>
      </c>
    </row>
    <row r="4969" spans="1:5" x14ac:dyDescent="0.25">
      <c r="A4969" s="5">
        <f>4961</f>
      </c>
      <c r="B4969" s="5" t="s">
        <v>4209</v>
      </c>
      <c r="C4969" s="5" t="s">
        <v>11</v>
      </c>
      <c r="D4969" s="5" t="s">
        <v>12</v>
      </c>
      <c r="E4969" s="5" t="s">
        <v>3536</v>
      </c>
    </row>
    <row r="4970" spans="1:5" x14ac:dyDescent="0.25">
      <c r="A4970" s="5">
        <f>4962</f>
      </c>
      <c r="B4970" s="5" t="s">
        <v>4210</v>
      </c>
      <c r="C4970" s="5" t="s">
        <v>11</v>
      </c>
      <c r="D4970" s="5" t="s">
        <v>12</v>
      </c>
      <c r="E4970" s="5" t="s">
        <v>3536</v>
      </c>
    </row>
    <row r="4971" spans="1:5" x14ac:dyDescent="0.25">
      <c r="A4971" s="5">
        <f>4963</f>
      </c>
      <c r="B4971" s="5" t="s">
        <v>4211</v>
      </c>
      <c r="C4971" s="5" t="s">
        <v>11</v>
      </c>
      <c r="D4971" s="5" t="s">
        <v>12</v>
      </c>
      <c r="E4971" s="5" t="s">
        <v>3536</v>
      </c>
    </row>
    <row r="4972" spans="1:5" x14ac:dyDescent="0.25">
      <c r="A4972" s="5">
        <f>4964</f>
      </c>
      <c r="B4972" s="5" t="s">
        <v>4212</v>
      </c>
      <c r="C4972" s="5" t="s">
        <v>11</v>
      </c>
      <c r="D4972" s="5" t="s">
        <v>12</v>
      </c>
      <c r="E4972" s="5" t="s">
        <v>3536</v>
      </c>
    </row>
    <row r="4973" spans="1:5" x14ac:dyDescent="0.25">
      <c r="A4973" s="5">
        <f>4965</f>
      </c>
      <c r="B4973" s="5" t="s">
        <v>4213</v>
      </c>
      <c r="C4973" s="5" t="s">
        <v>11</v>
      </c>
      <c r="D4973" s="5" t="s">
        <v>12</v>
      </c>
      <c r="E4973" s="5" t="s">
        <v>3536</v>
      </c>
    </row>
    <row r="4974" spans="1:5" x14ac:dyDescent="0.25">
      <c r="A4974" s="5">
        <f>4966</f>
      </c>
      <c r="B4974" s="5" t="s">
        <v>4214</v>
      </c>
      <c r="C4974" s="5" t="s">
        <v>11</v>
      </c>
      <c r="D4974" s="5" t="s">
        <v>12</v>
      </c>
      <c r="E4974" s="5" t="s">
        <v>3536</v>
      </c>
    </row>
    <row r="4975" spans="1:5" x14ac:dyDescent="0.25">
      <c r="A4975" s="5">
        <f>4967</f>
      </c>
      <c r="B4975" s="5" t="s">
        <v>4215</v>
      </c>
      <c r="C4975" s="5" t="s">
        <v>11</v>
      </c>
      <c r="D4975" s="5" t="s">
        <v>12</v>
      </c>
      <c r="E4975" s="5" t="s">
        <v>3536</v>
      </c>
    </row>
    <row r="4976" spans="1:5" x14ac:dyDescent="0.25">
      <c r="A4976" s="5">
        <f>4968</f>
      </c>
      <c r="B4976" s="5" t="s">
        <v>4216</v>
      </c>
      <c r="C4976" s="5" t="s">
        <v>11</v>
      </c>
      <c r="D4976" s="5" t="s">
        <v>12</v>
      </c>
      <c r="E4976" s="5" t="s">
        <v>3536</v>
      </c>
    </row>
    <row r="4977" spans="1:5" x14ac:dyDescent="0.25">
      <c r="A4977" s="5">
        <f>4969</f>
      </c>
      <c r="B4977" s="5" t="s">
        <v>4217</v>
      </c>
      <c r="C4977" s="5" t="s">
        <v>11</v>
      </c>
      <c r="D4977" s="5" t="s">
        <v>12</v>
      </c>
      <c r="E4977" s="5" t="s">
        <v>3536</v>
      </c>
    </row>
    <row r="4978" spans="1:5" x14ac:dyDescent="0.25">
      <c r="A4978" s="5">
        <f>4970</f>
      </c>
      <c r="B4978" s="5" t="s">
        <v>4218</v>
      </c>
      <c r="C4978" s="5" t="s">
        <v>11</v>
      </c>
      <c r="D4978" s="5" t="s">
        <v>12</v>
      </c>
      <c r="E4978" s="5" t="s">
        <v>3536</v>
      </c>
    </row>
    <row r="4979" spans="1:5" x14ac:dyDescent="0.25">
      <c r="A4979" s="5">
        <f>4971</f>
      </c>
      <c r="B4979" s="5" t="s">
        <v>4219</v>
      </c>
      <c r="C4979" s="5" t="s">
        <v>11</v>
      </c>
      <c r="D4979" s="5" t="s">
        <v>12</v>
      </c>
      <c r="E4979" s="5" t="s">
        <v>3536</v>
      </c>
    </row>
    <row r="4980" spans="1:5" x14ac:dyDescent="0.25">
      <c r="A4980" s="5">
        <f>4972</f>
      </c>
      <c r="B4980" s="5" t="s">
        <v>4220</v>
      </c>
      <c r="C4980" s="5" t="s">
        <v>11</v>
      </c>
      <c r="D4980" s="5" t="s">
        <v>12</v>
      </c>
      <c r="E4980" s="5" t="s">
        <v>3536</v>
      </c>
    </row>
    <row r="4981" spans="1:5" x14ac:dyDescent="0.25">
      <c r="A4981" s="5">
        <f>4973</f>
      </c>
      <c r="B4981" s="5" t="s">
        <v>4221</v>
      </c>
      <c r="C4981" s="5" t="s">
        <v>11</v>
      </c>
      <c r="D4981" s="5" t="s">
        <v>12</v>
      </c>
      <c r="E4981" s="5" t="s">
        <v>3536</v>
      </c>
    </row>
    <row r="4982" spans="1:5" x14ac:dyDescent="0.25">
      <c r="A4982" s="5">
        <f>4974</f>
      </c>
      <c r="B4982" s="5" t="s">
        <v>4222</v>
      </c>
      <c r="C4982" s="5" t="s">
        <v>11</v>
      </c>
      <c r="D4982" s="5" t="s">
        <v>12</v>
      </c>
      <c r="E4982" s="5" t="s">
        <v>3536</v>
      </c>
    </row>
    <row r="4983" spans="1:5" x14ac:dyDescent="0.25">
      <c r="A4983" s="5">
        <f>4975</f>
      </c>
      <c r="B4983" s="5" t="s">
        <v>4223</v>
      </c>
      <c r="C4983" s="5" t="s">
        <v>11</v>
      </c>
      <c r="D4983" s="5" t="s">
        <v>12</v>
      </c>
      <c r="E4983" s="5" t="s">
        <v>3536</v>
      </c>
    </row>
    <row r="4984" spans="1:5" x14ac:dyDescent="0.25">
      <c r="A4984" s="5">
        <f>4976</f>
      </c>
      <c r="B4984" s="5" t="s">
        <v>4224</v>
      </c>
      <c r="C4984" s="5" t="s">
        <v>11</v>
      </c>
      <c r="D4984" s="5" t="s">
        <v>12</v>
      </c>
      <c r="E4984" s="5" t="s">
        <v>3536</v>
      </c>
    </row>
    <row r="4985" spans="1:5" x14ac:dyDescent="0.25">
      <c r="A4985" s="5">
        <f>4977</f>
      </c>
      <c r="B4985" s="5" t="s">
        <v>4225</v>
      </c>
      <c r="C4985" s="5" t="s">
        <v>11</v>
      </c>
      <c r="D4985" s="5" t="s">
        <v>12</v>
      </c>
      <c r="E4985" s="5" t="s">
        <v>3536</v>
      </c>
    </row>
    <row r="4986" spans="1:5" x14ac:dyDescent="0.25">
      <c r="A4986" s="5">
        <f>4978</f>
      </c>
      <c r="B4986" s="5" t="s">
        <v>4226</v>
      </c>
      <c r="C4986" s="5" t="s">
        <v>11</v>
      </c>
      <c r="D4986" s="5" t="s">
        <v>12</v>
      </c>
      <c r="E4986" s="5" t="s">
        <v>3536</v>
      </c>
    </row>
    <row r="4987" spans="1:5" x14ac:dyDescent="0.25">
      <c r="A4987" s="5">
        <f>4979</f>
      </c>
      <c r="B4987" s="5" t="s">
        <v>4227</v>
      </c>
      <c r="C4987" s="5" t="s">
        <v>11</v>
      </c>
      <c r="D4987" s="5" t="s">
        <v>12</v>
      </c>
      <c r="E4987" s="5" t="s">
        <v>3536</v>
      </c>
    </row>
    <row r="4988" spans="1:5" x14ac:dyDescent="0.25">
      <c r="A4988" s="5">
        <f>4980</f>
      </c>
      <c r="B4988" s="5" t="s">
        <v>4228</v>
      </c>
      <c r="C4988" s="5" t="s">
        <v>11</v>
      </c>
      <c r="D4988" s="5" t="s">
        <v>12</v>
      </c>
      <c r="E4988" s="5" t="s">
        <v>3536</v>
      </c>
    </row>
    <row r="4989" spans="1:5" x14ac:dyDescent="0.25">
      <c r="A4989" s="5">
        <f>4981</f>
      </c>
      <c r="B4989" s="5" t="s">
        <v>4229</v>
      </c>
      <c r="C4989" s="5" t="s">
        <v>11</v>
      </c>
      <c r="D4989" s="5" t="s">
        <v>12</v>
      </c>
      <c r="E4989" s="5" t="s">
        <v>3536</v>
      </c>
    </row>
    <row r="4990" spans="1:5" x14ac:dyDescent="0.25">
      <c r="A4990" s="5">
        <f>4982</f>
      </c>
      <c r="B4990" s="5" t="s">
        <v>4230</v>
      </c>
      <c r="C4990" s="5" t="s">
        <v>11</v>
      </c>
      <c r="D4990" s="5" t="s">
        <v>12</v>
      </c>
      <c r="E4990" s="5" t="s">
        <v>3536</v>
      </c>
    </row>
    <row r="4991" spans="1:5" x14ac:dyDescent="0.25">
      <c r="A4991" s="5">
        <f>4983</f>
      </c>
      <c r="B4991" s="5" t="s">
        <v>4231</v>
      </c>
      <c r="C4991" s="5" t="s">
        <v>11</v>
      </c>
      <c r="D4991" s="5" t="s">
        <v>12</v>
      </c>
      <c r="E4991" s="5" t="s">
        <v>3536</v>
      </c>
    </row>
    <row r="4992" spans="1:5" x14ac:dyDescent="0.25">
      <c r="A4992" s="5">
        <f>4984</f>
      </c>
      <c r="B4992" s="5" t="s">
        <v>4232</v>
      </c>
      <c r="C4992" s="5" t="s">
        <v>11</v>
      </c>
      <c r="D4992" s="5" t="s">
        <v>12</v>
      </c>
      <c r="E4992" s="5" t="s">
        <v>3536</v>
      </c>
    </row>
    <row r="4993" spans="1:5" x14ac:dyDescent="0.25">
      <c r="A4993" s="5">
        <f>4985</f>
      </c>
      <c r="B4993" s="5" t="s">
        <v>4233</v>
      </c>
      <c r="C4993" s="5" t="s">
        <v>11</v>
      </c>
      <c r="D4993" s="5" t="s">
        <v>12</v>
      </c>
      <c r="E4993" s="5" t="s">
        <v>3536</v>
      </c>
    </row>
    <row r="4994" spans="1:5" x14ac:dyDescent="0.25">
      <c r="A4994" s="5">
        <f>4986</f>
      </c>
      <c r="B4994" s="5" t="s">
        <v>4234</v>
      </c>
      <c r="C4994" s="5" t="s">
        <v>11</v>
      </c>
      <c r="D4994" s="5" t="s">
        <v>12</v>
      </c>
      <c r="E4994" s="5" t="s">
        <v>3536</v>
      </c>
    </row>
    <row r="4995" spans="1:5" x14ac:dyDescent="0.25">
      <c r="A4995" s="5">
        <f>4987</f>
      </c>
      <c r="B4995" s="5" t="s">
        <v>4235</v>
      </c>
      <c r="C4995" s="5" t="s">
        <v>11</v>
      </c>
      <c r="D4995" s="5" t="s">
        <v>12</v>
      </c>
      <c r="E4995" s="5" t="s">
        <v>3536</v>
      </c>
    </row>
    <row r="4996" spans="1:5" x14ac:dyDescent="0.25">
      <c r="A4996" s="5">
        <f>4988</f>
      </c>
      <c r="B4996" s="5" t="s">
        <v>4236</v>
      </c>
      <c r="C4996" s="5" t="s">
        <v>11</v>
      </c>
      <c r="D4996" s="5" t="s">
        <v>12</v>
      </c>
      <c r="E4996" s="5" t="s">
        <v>3536</v>
      </c>
    </row>
    <row r="4997" spans="1:5" x14ac:dyDescent="0.25">
      <c r="A4997" s="5">
        <f>4989</f>
      </c>
      <c r="B4997" s="5" t="s">
        <v>4237</v>
      </c>
      <c r="C4997" s="5" t="s">
        <v>11</v>
      </c>
      <c r="D4997" s="5" t="s">
        <v>12</v>
      </c>
      <c r="E4997" s="5" t="s">
        <v>3536</v>
      </c>
    </row>
    <row r="4998" spans="1:5" x14ac:dyDescent="0.25">
      <c r="A4998" s="5">
        <f>4990</f>
      </c>
      <c r="B4998" s="5" t="s">
        <v>4238</v>
      </c>
      <c r="C4998" s="5" t="s">
        <v>11</v>
      </c>
      <c r="D4998" s="5" t="s">
        <v>12</v>
      </c>
      <c r="E4998" s="5" t="s">
        <v>3536</v>
      </c>
    </row>
    <row r="4999" spans="1:5" x14ac:dyDescent="0.25">
      <c r="A4999" s="5">
        <f>4991</f>
      </c>
      <c r="B4999" s="5" t="s">
        <v>4239</v>
      </c>
      <c r="C4999" s="5" t="s">
        <v>11</v>
      </c>
      <c r="D4999" s="5" t="s">
        <v>12</v>
      </c>
      <c r="E4999" s="5" t="s">
        <v>3536</v>
      </c>
    </row>
    <row r="5000" spans="1:5" x14ac:dyDescent="0.25">
      <c r="A5000" s="5">
        <f>4992</f>
      </c>
      <c r="B5000" s="5" t="s">
        <v>4240</v>
      </c>
      <c r="C5000" s="5" t="s">
        <v>11</v>
      </c>
      <c r="D5000" s="5" t="s">
        <v>12</v>
      </c>
      <c r="E5000" s="5" t="s">
        <v>3536</v>
      </c>
    </row>
    <row r="5001" spans="1:5" x14ac:dyDescent="0.25">
      <c r="A5001" s="5">
        <f>4993</f>
      </c>
      <c r="B5001" s="5" t="s">
        <v>4241</v>
      </c>
      <c r="C5001" s="5" t="s">
        <v>11</v>
      </c>
      <c r="D5001" s="5" t="s">
        <v>12</v>
      </c>
      <c r="E5001" s="5" t="s">
        <v>3536</v>
      </c>
    </row>
    <row r="5002" spans="1:5" x14ac:dyDescent="0.25">
      <c r="A5002" s="5">
        <f>4994</f>
      </c>
      <c r="B5002" s="5" t="s">
        <v>4242</v>
      </c>
      <c r="C5002" s="5" t="s">
        <v>11</v>
      </c>
      <c r="D5002" s="5" t="s">
        <v>12</v>
      </c>
      <c r="E5002" s="5" t="s">
        <v>3536</v>
      </c>
    </row>
    <row r="5003" spans="1:5" x14ac:dyDescent="0.25">
      <c r="A5003" s="5">
        <f>4995</f>
      </c>
      <c r="B5003" s="5" t="s">
        <v>4243</v>
      </c>
      <c r="C5003" s="5" t="s">
        <v>11</v>
      </c>
      <c r="D5003" s="5" t="s">
        <v>12</v>
      </c>
      <c r="E5003" s="5" t="s">
        <v>3536</v>
      </c>
    </row>
    <row r="5004" spans="1:5" x14ac:dyDescent="0.25">
      <c r="A5004" s="5">
        <f>4996</f>
      </c>
      <c r="B5004" s="5" t="s">
        <v>4244</v>
      </c>
      <c r="C5004" s="5" t="s">
        <v>11</v>
      </c>
      <c r="D5004" s="5" t="s">
        <v>12</v>
      </c>
      <c r="E5004" s="5" t="s">
        <v>3536</v>
      </c>
    </row>
    <row r="5005" spans="1:5" x14ac:dyDescent="0.25">
      <c r="A5005" s="5">
        <f>4997</f>
      </c>
      <c r="B5005" s="5" t="s">
        <v>4245</v>
      </c>
      <c r="C5005" s="5" t="s">
        <v>11</v>
      </c>
      <c r="D5005" s="5" t="s">
        <v>12</v>
      </c>
      <c r="E5005" s="5" t="s">
        <v>3536</v>
      </c>
    </row>
    <row r="5006" spans="1:5" x14ac:dyDescent="0.25">
      <c r="A5006" s="5">
        <f>4998</f>
      </c>
      <c r="B5006" s="5" t="s">
        <v>4246</v>
      </c>
      <c r="C5006" s="5" t="s">
        <v>11</v>
      </c>
      <c r="D5006" s="5" t="s">
        <v>12</v>
      </c>
      <c r="E5006" s="5" t="s">
        <v>3536</v>
      </c>
    </row>
    <row r="5007" spans="1:5" x14ac:dyDescent="0.25">
      <c r="A5007" s="5">
        <f>4999</f>
      </c>
      <c r="B5007" s="5" t="s">
        <v>4247</v>
      </c>
      <c r="C5007" s="5" t="s">
        <v>11</v>
      </c>
      <c r="D5007" s="5" t="s">
        <v>12</v>
      </c>
      <c r="E5007" s="5" t="s">
        <v>3536</v>
      </c>
    </row>
    <row r="5008" spans="1:5" x14ac:dyDescent="0.25">
      <c r="A5008" s="5">
        <f>5000</f>
      </c>
      <c r="B5008" s="5" t="s">
        <v>4248</v>
      </c>
      <c r="C5008" s="5" t="s">
        <v>11</v>
      </c>
      <c r="D5008" s="5" t="s">
        <v>12</v>
      </c>
      <c r="E5008" s="5" t="s">
        <v>3536</v>
      </c>
    </row>
    <row r="5009" spans="1:5" x14ac:dyDescent="0.25">
      <c r="A5009" s="5">
        <f>5001</f>
      </c>
      <c r="B5009" s="5" t="s">
        <v>4249</v>
      </c>
      <c r="C5009" s="5" t="s">
        <v>11</v>
      </c>
      <c r="D5009" s="5" t="s">
        <v>12</v>
      </c>
      <c r="E5009" s="5" t="s">
        <v>3536</v>
      </c>
    </row>
    <row r="5010" spans="1:5" x14ac:dyDescent="0.25">
      <c r="A5010" s="5">
        <f>5002</f>
      </c>
      <c r="B5010" s="5" t="s">
        <v>4250</v>
      </c>
      <c r="C5010" s="5" t="s">
        <v>11</v>
      </c>
      <c r="D5010" s="5" t="s">
        <v>12</v>
      </c>
      <c r="E5010" s="5" t="s">
        <v>3536</v>
      </c>
    </row>
    <row r="5011" spans="1:5" x14ac:dyDescent="0.25">
      <c r="A5011" s="5">
        <f>5003</f>
      </c>
      <c r="B5011" s="5" t="s">
        <v>4251</v>
      </c>
      <c r="C5011" s="5" t="s">
        <v>11</v>
      </c>
      <c r="D5011" s="5" t="s">
        <v>12</v>
      </c>
      <c r="E5011" s="5" t="s">
        <v>3536</v>
      </c>
    </row>
    <row r="5012" spans="1:5" x14ac:dyDescent="0.25">
      <c r="A5012" s="5">
        <f>5004</f>
      </c>
      <c r="B5012" s="5" t="s">
        <v>4252</v>
      </c>
      <c r="C5012" s="5" t="s">
        <v>11</v>
      </c>
      <c r="D5012" s="5" t="s">
        <v>12</v>
      </c>
      <c r="E5012" s="5" t="s">
        <v>3536</v>
      </c>
    </row>
    <row r="5013" spans="1:5" x14ac:dyDescent="0.25">
      <c r="A5013" s="5">
        <f>5005</f>
      </c>
      <c r="B5013" s="5" t="s">
        <v>4253</v>
      </c>
      <c r="C5013" s="5" t="s">
        <v>11</v>
      </c>
      <c r="D5013" s="5" t="s">
        <v>12</v>
      </c>
      <c r="E5013" s="5" t="s">
        <v>3536</v>
      </c>
    </row>
    <row r="5014" spans="1:5" x14ac:dyDescent="0.25">
      <c r="A5014" s="5">
        <f>5006</f>
      </c>
      <c r="B5014" s="5" t="s">
        <v>4254</v>
      </c>
      <c r="C5014" s="5" t="s">
        <v>11</v>
      </c>
      <c r="D5014" s="5" t="s">
        <v>12</v>
      </c>
      <c r="E5014" s="5" t="s">
        <v>3536</v>
      </c>
    </row>
    <row r="5015" spans="1:5" x14ac:dyDescent="0.25">
      <c r="A5015" s="5">
        <f>5007</f>
      </c>
      <c r="B5015" s="5" t="s">
        <v>4255</v>
      </c>
      <c r="C5015" s="5" t="s">
        <v>11</v>
      </c>
      <c r="D5015" s="5" t="s">
        <v>12</v>
      </c>
      <c r="E5015" s="5" t="s">
        <v>3536</v>
      </c>
    </row>
    <row r="5016" spans="1:5" x14ac:dyDescent="0.25">
      <c r="A5016" s="5">
        <f>5008</f>
      </c>
      <c r="B5016" s="5" t="s">
        <v>4256</v>
      </c>
      <c r="C5016" s="5" t="s">
        <v>11</v>
      </c>
      <c r="D5016" s="5" t="s">
        <v>12</v>
      </c>
      <c r="E5016" s="5" t="s">
        <v>3536</v>
      </c>
    </row>
    <row r="5017" spans="1:5" x14ac:dyDescent="0.25">
      <c r="A5017" s="5">
        <f>5009</f>
      </c>
      <c r="B5017" s="5" t="s">
        <v>4257</v>
      </c>
      <c r="C5017" s="5" t="s">
        <v>11</v>
      </c>
      <c r="D5017" s="5" t="s">
        <v>12</v>
      </c>
      <c r="E5017" s="5" t="s">
        <v>3536</v>
      </c>
    </row>
    <row r="5018" spans="1:5" x14ac:dyDescent="0.25">
      <c r="A5018" s="5">
        <f>5010</f>
      </c>
      <c r="B5018" s="5" t="s">
        <v>4258</v>
      </c>
      <c r="C5018" s="5" t="s">
        <v>11</v>
      </c>
      <c r="D5018" s="5" t="s">
        <v>12</v>
      </c>
      <c r="E5018" s="5" t="s">
        <v>3536</v>
      </c>
    </row>
    <row r="5019" spans="1:5" x14ac:dyDescent="0.25">
      <c r="A5019" s="5">
        <f>5011</f>
      </c>
      <c r="B5019" s="5" t="s">
        <v>4259</v>
      </c>
      <c r="C5019" s="5" t="s">
        <v>11</v>
      </c>
      <c r="D5019" s="5" t="s">
        <v>12</v>
      </c>
      <c r="E5019" s="5" t="s">
        <v>3536</v>
      </c>
    </row>
    <row r="5020" spans="1:5" x14ac:dyDescent="0.25">
      <c r="A5020" s="5">
        <f>5012</f>
      </c>
      <c r="B5020" s="5" t="s">
        <v>4260</v>
      </c>
      <c r="C5020" s="5" t="s">
        <v>11</v>
      </c>
      <c r="D5020" s="5" t="s">
        <v>12</v>
      </c>
      <c r="E5020" s="5" t="s">
        <v>3536</v>
      </c>
    </row>
    <row r="5021" spans="1:5" x14ac:dyDescent="0.25">
      <c r="A5021" s="5">
        <f>5013</f>
      </c>
      <c r="B5021" s="5" t="s">
        <v>4261</v>
      </c>
      <c r="C5021" s="5" t="s">
        <v>11</v>
      </c>
      <c r="D5021" s="5" t="s">
        <v>12</v>
      </c>
      <c r="E5021" s="5" t="s">
        <v>3536</v>
      </c>
    </row>
    <row r="5022" spans="1:5" x14ac:dyDescent="0.25">
      <c r="A5022" s="5">
        <f>5014</f>
      </c>
      <c r="B5022" s="5" t="s">
        <v>4262</v>
      </c>
      <c r="C5022" s="5" t="s">
        <v>11</v>
      </c>
      <c r="D5022" s="5" t="s">
        <v>12</v>
      </c>
      <c r="E5022" s="5" t="s">
        <v>3536</v>
      </c>
    </row>
    <row r="5023" spans="1:5" x14ac:dyDescent="0.25">
      <c r="A5023" s="5">
        <f>5015</f>
      </c>
      <c r="B5023" s="5" t="s">
        <v>4263</v>
      </c>
      <c r="C5023" s="5" t="s">
        <v>11</v>
      </c>
      <c r="D5023" s="5" t="s">
        <v>12</v>
      </c>
      <c r="E5023" s="5" t="s">
        <v>3536</v>
      </c>
    </row>
    <row r="5024" spans="1:5" x14ac:dyDescent="0.25">
      <c r="A5024" s="5">
        <f>5016</f>
      </c>
      <c r="B5024" s="5" t="s">
        <v>4264</v>
      </c>
      <c r="C5024" s="5" t="s">
        <v>11</v>
      </c>
      <c r="D5024" s="5" t="s">
        <v>12</v>
      </c>
      <c r="E5024" s="5" t="s">
        <v>3536</v>
      </c>
    </row>
    <row r="5025" spans="1:5" x14ac:dyDescent="0.25">
      <c r="A5025" s="5">
        <f>5017</f>
      </c>
      <c r="B5025" s="5" t="s">
        <v>4265</v>
      </c>
      <c r="C5025" s="5" t="s">
        <v>11</v>
      </c>
      <c r="D5025" s="5" t="s">
        <v>12</v>
      </c>
      <c r="E5025" s="5" t="s">
        <v>3536</v>
      </c>
    </row>
    <row r="5026" spans="1:5" x14ac:dyDescent="0.25">
      <c r="A5026" s="5">
        <f>5018</f>
      </c>
      <c r="B5026" s="5" t="s">
        <v>4266</v>
      </c>
      <c r="C5026" s="5" t="s">
        <v>11</v>
      </c>
      <c r="D5026" s="5" t="s">
        <v>12</v>
      </c>
      <c r="E5026" s="5" t="s">
        <v>3536</v>
      </c>
    </row>
    <row r="5027" spans="1:5" x14ac:dyDescent="0.25">
      <c r="A5027" s="5">
        <f>5019</f>
      </c>
      <c r="B5027" s="5" t="s">
        <v>4267</v>
      </c>
      <c r="C5027" s="5" t="s">
        <v>11</v>
      </c>
      <c r="D5027" s="5" t="s">
        <v>12</v>
      </c>
      <c r="E5027" s="5" t="s">
        <v>3536</v>
      </c>
    </row>
    <row r="5028" spans="1:5" x14ac:dyDescent="0.25">
      <c r="A5028" s="5">
        <f>5020</f>
      </c>
      <c r="B5028" s="5" t="s">
        <v>4268</v>
      </c>
      <c r="C5028" s="5" t="s">
        <v>11</v>
      </c>
      <c r="D5028" s="5" t="s">
        <v>12</v>
      </c>
      <c r="E5028" s="5" t="s">
        <v>3962</v>
      </c>
    </row>
    <row r="5029" spans="1:5" x14ac:dyDescent="0.25">
      <c r="A5029" s="5">
        <f>5021</f>
      </c>
      <c r="B5029" s="5" t="s">
        <v>4269</v>
      </c>
      <c r="C5029" s="5" t="s">
        <v>11</v>
      </c>
      <c r="D5029" s="5" t="s">
        <v>12</v>
      </c>
      <c r="E5029" s="5" t="s">
        <v>3962</v>
      </c>
    </row>
    <row r="5030" spans="1:5" x14ac:dyDescent="0.25">
      <c r="A5030" s="5">
        <f>5022</f>
      </c>
      <c r="B5030" s="5" t="s">
        <v>4270</v>
      </c>
      <c r="C5030" s="5" t="s">
        <v>11</v>
      </c>
      <c r="D5030" s="5" t="s">
        <v>12</v>
      </c>
      <c r="E5030" s="5" t="s">
        <v>3962</v>
      </c>
    </row>
    <row r="5031" spans="1:5" x14ac:dyDescent="0.25">
      <c r="A5031" s="5">
        <f>5023</f>
      </c>
      <c r="B5031" s="5" t="s">
        <v>4271</v>
      </c>
      <c r="C5031" s="5" t="s">
        <v>11</v>
      </c>
      <c r="D5031" s="5" t="s">
        <v>12</v>
      </c>
      <c r="E5031" s="5" t="s">
        <v>3962</v>
      </c>
    </row>
    <row r="5032" spans="1:5" x14ac:dyDescent="0.25">
      <c r="A5032" s="5">
        <f>5024</f>
      </c>
      <c r="B5032" s="5" t="s">
        <v>4272</v>
      </c>
      <c r="C5032" s="5" t="s">
        <v>11</v>
      </c>
      <c r="D5032" s="5" t="s">
        <v>12</v>
      </c>
      <c r="E5032" s="5" t="s">
        <v>3962</v>
      </c>
    </row>
    <row r="5033" spans="1:5" x14ac:dyDescent="0.25">
      <c r="A5033" s="5">
        <f>5025</f>
      </c>
      <c r="B5033" s="5" t="s">
        <v>4273</v>
      </c>
      <c r="C5033" s="5" t="s">
        <v>11</v>
      </c>
      <c r="D5033" s="5" t="s">
        <v>12</v>
      </c>
      <c r="E5033" s="5" t="s">
        <v>3962</v>
      </c>
    </row>
    <row r="5034" spans="1:5" x14ac:dyDescent="0.25">
      <c r="A5034" s="5">
        <f>5026</f>
      </c>
      <c r="B5034" s="5" t="s">
        <v>4274</v>
      </c>
      <c r="C5034" s="5" t="s">
        <v>11</v>
      </c>
      <c r="D5034" s="5" t="s">
        <v>12</v>
      </c>
      <c r="E5034" s="5" t="s">
        <v>2819</v>
      </c>
    </row>
    <row r="5035" spans="1:5" x14ac:dyDescent="0.25">
      <c r="A5035" s="5">
        <f>5027</f>
      </c>
      <c r="B5035" s="5" t="s">
        <v>4275</v>
      </c>
      <c r="C5035" s="5" t="s">
        <v>11</v>
      </c>
      <c r="D5035" s="5" t="s">
        <v>12</v>
      </c>
      <c r="E5035" s="5" t="s">
        <v>2819</v>
      </c>
    </row>
    <row r="5036" spans="1:5" x14ac:dyDescent="0.25">
      <c r="A5036" s="5">
        <f>5028</f>
      </c>
      <c r="B5036" s="5" t="s">
        <v>4276</v>
      </c>
      <c r="C5036" s="5" t="s">
        <v>11</v>
      </c>
      <c r="D5036" s="5" t="s">
        <v>12</v>
      </c>
      <c r="E5036" s="5" t="s">
        <v>2316</v>
      </c>
    </row>
    <row r="5037" spans="1:5" x14ac:dyDescent="0.25">
      <c r="A5037" s="5">
        <f>5029</f>
      </c>
      <c r="B5037" s="5" t="s">
        <v>4277</v>
      </c>
      <c r="C5037" s="5" t="s">
        <v>11</v>
      </c>
      <c r="D5037" s="5" t="s">
        <v>12</v>
      </c>
      <c r="E5037" s="5" t="s">
        <v>885</v>
      </c>
    </row>
    <row r="5038" spans="1:5" x14ac:dyDescent="0.25">
      <c r="A5038" s="5">
        <f>5030</f>
      </c>
      <c r="B5038" s="5" t="s">
        <v>4278</v>
      </c>
      <c r="C5038" s="5" t="s">
        <v>11</v>
      </c>
      <c r="D5038" s="5" t="s">
        <v>12</v>
      </c>
      <c r="E5038" s="5" t="s">
        <v>885</v>
      </c>
    </row>
    <row r="5039" spans="1:5" x14ac:dyDescent="0.25">
      <c r="A5039" s="5">
        <f>5031</f>
      </c>
      <c r="B5039" s="5" t="s">
        <v>4279</v>
      </c>
      <c r="C5039" s="5" t="s">
        <v>11</v>
      </c>
      <c r="D5039" s="5" t="s">
        <v>12</v>
      </c>
      <c r="E5039" s="5" t="s">
        <v>1034</v>
      </c>
    </row>
    <row r="5040" spans="1:5" x14ac:dyDescent="0.25">
      <c r="A5040" s="5">
        <f>5032</f>
      </c>
      <c r="B5040" s="5" t="s">
        <v>4280</v>
      </c>
      <c r="C5040" s="5" t="s">
        <v>11</v>
      </c>
      <c r="D5040" s="5" t="s">
        <v>12</v>
      </c>
      <c r="E5040" s="5" t="s">
        <v>3924</v>
      </c>
    </row>
    <row r="5041" spans="1:5" x14ac:dyDescent="0.25">
      <c r="A5041" s="5">
        <f>5033</f>
      </c>
      <c r="B5041" s="5" t="s">
        <v>4281</v>
      </c>
      <c r="C5041" s="5" t="s">
        <v>11</v>
      </c>
      <c r="D5041" s="5" t="s">
        <v>12</v>
      </c>
      <c r="E5041" s="5" t="s">
        <v>3496</v>
      </c>
    </row>
    <row r="5042" spans="1:5" x14ac:dyDescent="0.25">
      <c r="A5042" s="5">
        <f>5034</f>
      </c>
      <c r="B5042" s="5" t="s">
        <v>4282</v>
      </c>
      <c r="C5042" s="5" t="s">
        <v>11</v>
      </c>
      <c r="D5042" s="5" t="s">
        <v>12</v>
      </c>
      <c r="E5042" s="5" t="s">
        <v>3549</v>
      </c>
    </row>
    <row r="5043" spans="1:5" x14ac:dyDescent="0.25">
      <c r="A5043" s="5">
        <f>5035</f>
      </c>
      <c r="B5043" s="5" t="s">
        <v>4283</v>
      </c>
      <c r="C5043" s="5" t="s">
        <v>11</v>
      </c>
      <c r="D5043" s="5" t="s">
        <v>12</v>
      </c>
      <c r="E5043" s="5" t="s">
        <v>3759</v>
      </c>
    </row>
    <row r="5044" spans="1:5" x14ac:dyDescent="0.25">
      <c r="A5044" s="5">
        <f>5036</f>
      </c>
      <c r="B5044" s="5" t="s">
        <v>4284</v>
      </c>
      <c r="C5044" s="5" t="s">
        <v>11</v>
      </c>
      <c r="D5044" s="5" t="s">
        <v>12</v>
      </c>
      <c r="E5044" s="5" t="s">
        <v>3367</v>
      </c>
    </row>
    <row r="5045" spans="1:5" x14ac:dyDescent="0.25">
      <c r="A5045" s="5">
        <f>5037</f>
      </c>
      <c r="B5045" s="5" t="s">
        <v>4285</v>
      </c>
      <c r="C5045" s="5" t="s">
        <v>11</v>
      </c>
      <c r="D5045" s="5" t="s">
        <v>12</v>
      </c>
      <c r="E5045" s="5" t="s">
        <v>4286</v>
      </c>
    </row>
    <row r="5046" spans="1:5" x14ac:dyDescent="0.25">
      <c r="A5046" s="5">
        <f>5038</f>
      </c>
      <c r="B5046" s="5" t="s">
        <v>4287</v>
      </c>
      <c r="C5046" s="5" t="s">
        <v>11</v>
      </c>
      <c r="D5046" s="5" t="s">
        <v>12</v>
      </c>
      <c r="E5046" s="5" t="s">
        <v>882</v>
      </c>
    </row>
    <row r="5047" spans="1:5" x14ac:dyDescent="0.25">
      <c r="A5047" s="5">
        <f>5039</f>
      </c>
      <c r="B5047" s="5" t="s">
        <v>4288</v>
      </c>
      <c r="C5047" s="5" t="s">
        <v>11</v>
      </c>
      <c r="D5047" s="5" t="s">
        <v>12</v>
      </c>
      <c r="E5047" s="5" t="s">
        <v>4289</v>
      </c>
    </row>
    <row r="5048" spans="1:5" x14ac:dyDescent="0.25">
      <c r="A5048" s="5">
        <f>5040</f>
      </c>
      <c r="B5048" s="5" t="s">
        <v>4290</v>
      </c>
      <c r="C5048" s="5" t="s">
        <v>11</v>
      </c>
      <c r="D5048" s="5" t="s">
        <v>12</v>
      </c>
      <c r="E5048" s="5" t="s">
        <v>2622</v>
      </c>
    </row>
    <row r="5049" spans="1:5" x14ac:dyDescent="0.25">
      <c r="A5049" s="5">
        <f>5041</f>
      </c>
      <c r="B5049" s="5" t="s">
        <v>4291</v>
      </c>
      <c r="C5049" s="5" t="s">
        <v>11</v>
      </c>
      <c r="D5049" s="5" t="s">
        <v>12</v>
      </c>
      <c r="E5049" s="5" t="s">
        <v>2396</v>
      </c>
    </row>
    <row r="5050" spans="1:5" x14ac:dyDescent="0.25">
      <c r="A5050" s="5">
        <f>5042</f>
      </c>
      <c r="B5050" s="5" t="s">
        <v>4292</v>
      </c>
      <c r="C5050" s="5" t="s">
        <v>11</v>
      </c>
      <c r="D5050" s="5" t="s">
        <v>12</v>
      </c>
      <c r="E5050" s="5" t="s">
        <v>2396</v>
      </c>
    </row>
    <row r="5051" spans="1:5" x14ac:dyDescent="0.25">
      <c r="A5051" s="5">
        <f>5043</f>
      </c>
      <c r="B5051" s="5" t="s">
        <v>4293</v>
      </c>
      <c r="C5051" s="5" t="s">
        <v>11</v>
      </c>
      <c r="D5051" s="5" t="s">
        <v>12</v>
      </c>
      <c r="E5051" s="5" t="s">
        <v>2396</v>
      </c>
    </row>
    <row r="5052" spans="1:5" x14ac:dyDescent="0.25">
      <c r="A5052" s="5">
        <f>5044</f>
      </c>
      <c r="B5052" s="5" t="s">
        <v>4294</v>
      </c>
      <c r="C5052" s="5" t="s">
        <v>11</v>
      </c>
      <c r="D5052" s="5" t="s">
        <v>12</v>
      </c>
      <c r="E5052" s="5" t="s">
        <v>2396</v>
      </c>
    </row>
    <row r="5053" spans="1:5" x14ac:dyDescent="0.25">
      <c r="A5053" s="5">
        <f>5045</f>
      </c>
      <c r="B5053" s="5" t="s">
        <v>4295</v>
      </c>
      <c r="C5053" s="5" t="s">
        <v>11</v>
      </c>
      <c r="D5053" s="5" t="s">
        <v>12</v>
      </c>
      <c r="E5053" s="5" t="s">
        <v>2396</v>
      </c>
    </row>
    <row r="5054" spans="1:5" x14ac:dyDescent="0.25">
      <c r="A5054" s="5">
        <f>5046</f>
      </c>
      <c r="B5054" s="5" t="s">
        <v>4296</v>
      </c>
      <c r="C5054" s="5" t="s">
        <v>11</v>
      </c>
      <c r="D5054" s="5" t="s">
        <v>12</v>
      </c>
      <c r="E5054" s="5" t="s">
        <v>2396</v>
      </c>
    </row>
    <row r="5055" spans="1:5" x14ac:dyDescent="0.25">
      <c r="A5055" s="5">
        <f>5047</f>
      </c>
      <c r="B5055" s="5" t="s">
        <v>4297</v>
      </c>
      <c r="C5055" s="5" t="s">
        <v>11</v>
      </c>
      <c r="D5055" s="5" t="s">
        <v>12</v>
      </c>
      <c r="E5055" s="5" t="s">
        <v>2396</v>
      </c>
    </row>
    <row r="5056" spans="1:5" x14ac:dyDescent="0.25">
      <c r="A5056" s="5">
        <f>5048</f>
      </c>
      <c r="B5056" s="5" t="s">
        <v>4298</v>
      </c>
      <c r="C5056" s="5" t="s">
        <v>11</v>
      </c>
      <c r="D5056" s="5" t="s">
        <v>12</v>
      </c>
      <c r="E5056" s="5" t="s">
        <v>2396</v>
      </c>
    </row>
    <row r="5057" spans="1:5" x14ac:dyDescent="0.25">
      <c r="A5057" s="5">
        <f>5049</f>
      </c>
      <c r="B5057" s="5" t="s">
        <v>4299</v>
      </c>
      <c r="C5057" s="5" t="s">
        <v>11</v>
      </c>
      <c r="D5057" s="5" t="s">
        <v>12</v>
      </c>
      <c r="E5057" s="5" t="s">
        <v>2396</v>
      </c>
    </row>
    <row r="5058" spans="1:5" x14ac:dyDescent="0.25">
      <c r="A5058" s="5">
        <f>5050</f>
      </c>
      <c r="B5058" s="5" t="s">
        <v>4300</v>
      </c>
      <c r="C5058" s="5" t="s">
        <v>11</v>
      </c>
      <c r="D5058" s="5" t="s">
        <v>12</v>
      </c>
      <c r="E5058" s="5" t="s">
        <v>2396</v>
      </c>
    </row>
    <row r="5059" spans="1:5" x14ac:dyDescent="0.25">
      <c r="A5059" s="5">
        <f>5051</f>
      </c>
      <c r="B5059" s="5" t="s">
        <v>4301</v>
      </c>
      <c r="C5059" s="5" t="s">
        <v>11</v>
      </c>
      <c r="D5059" s="5" t="s">
        <v>12</v>
      </c>
      <c r="E5059" s="5" t="s">
        <v>2396</v>
      </c>
    </row>
    <row r="5060" spans="1:5" x14ac:dyDescent="0.25">
      <c r="A5060" s="5">
        <f>5052</f>
      </c>
      <c r="B5060" s="5" t="s">
        <v>4302</v>
      </c>
      <c r="C5060" s="5" t="s">
        <v>11</v>
      </c>
      <c r="D5060" s="5" t="s">
        <v>12</v>
      </c>
      <c r="E5060" s="5" t="s">
        <v>2396</v>
      </c>
    </row>
    <row r="5061" spans="1:5" x14ac:dyDescent="0.25">
      <c r="A5061" s="5">
        <f>5053</f>
      </c>
      <c r="B5061" s="5" t="s">
        <v>4303</v>
      </c>
      <c r="C5061" s="5" t="s">
        <v>11</v>
      </c>
      <c r="D5061" s="5" t="s">
        <v>12</v>
      </c>
      <c r="E5061" s="5" t="s">
        <v>2396</v>
      </c>
    </row>
    <row r="5062" spans="1:5" x14ac:dyDescent="0.25">
      <c r="A5062" s="5">
        <f>5054</f>
      </c>
      <c r="B5062" s="5" t="s">
        <v>4304</v>
      </c>
      <c r="C5062" s="5" t="s">
        <v>11</v>
      </c>
      <c r="D5062" s="5" t="s">
        <v>12</v>
      </c>
      <c r="E5062" s="5" t="s">
        <v>2396</v>
      </c>
    </row>
    <row r="5063" spans="1:5" x14ac:dyDescent="0.25">
      <c r="A5063" s="5">
        <f>5055</f>
      </c>
      <c r="B5063" s="5" t="s">
        <v>4305</v>
      </c>
      <c r="C5063" s="5" t="s">
        <v>11</v>
      </c>
      <c r="D5063" s="5" t="s">
        <v>12</v>
      </c>
      <c r="E5063" s="5" t="s">
        <v>2396</v>
      </c>
    </row>
    <row r="5064" spans="1:5" x14ac:dyDescent="0.25">
      <c r="A5064" s="5">
        <f>5056</f>
      </c>
      <c r="B5064" s="5" t="s">
        <v>4306</v>
      </c>
      <c r="C5064" s="5" t="s">
        <v>11</v>
      </c>
      <c r="D5064" s="5" t="s">
        <v>12</v>
      </c>
      <c r="E5064" s="5" t="s">
        <v>2396</v>
      </c>
    </row>
    <row r="5065" spans="1:5" x14ac:dyDescent="0.25">
      <c r="A5065" s="5">
        <f>5057</f>
      </c>
      <c r="B5065" s="5" t="s">
        <v>4307</v>
      </c>
      <c r="C5065" s="5" t="s">
        <v>11</v>
      </c>
      <c r="D5065" s="5" t="s">
        <v>12</v>
      </c>
      <c r="E5065" s="5" t="s">
        <v>2396</v>
      </c>
    </row>
    <row r="5066" spans="1:5" x14ac:dyDescent="0.25">
      <c r="A5066" s="5">
        <f>5058</f>
      </c>
      <c r="B5066" s="5" t="s">
        <v>4308</v>
      </c>
      <c r="C5066" s="5" t="s">
        <v>11</v>
      </c>
      <c r="D5066" s="5" t="s">
        <v>12</v>
      </c>
      <c r="E5066" s="5" t="s">
        <v>2396</v>
      </c>
    </row>
    <row r="5067" spans="1:5" x14ac:dyDescent="0.25">
      <c r="A5067" s="5">
        <f>5059</f>
      </c>
      <c r="B5067" s="5" t="s">
        <v>4309</v>
      </c>
      <c r="C5067" s="5" t="s">
        <v>11</v>
      </c>
      <c r="D5067" s="5" t="s">
        <v>12</v>
      </c>
      <c r="E5067" s="5" t="s">
        <v>2396</v>
      </c>
    </row>
    <row r="5068" spans="1:5" x14ac:dyDescent="0.25">
      <c r="A5068" s="5">
        <f>5060</f>
      </c>
      <c r="B5068" s="5" t="s">
        <v>4310</v>
      </c>
      <c r="C5068" s="5" t="s">
        <v>11</v>
      </c>
      <c r="D5068" s="5" t="s">
        <v>12</v>
      </c>
      <c r="E5068" s="5" t="s">
        <v>2396</v>
      </c>
    </row>
    <row r="5069" spans="1:5" x14ac:dyDescent="0.25">
      <c r="A5069" s="5">
        <f>5061</f>
      </c>
      <c r="B5069" s="5" t="s">
        <v>4311</v>
      </c>
      <c r="C5069" s="5" t="s">
        <v>11</v>
      </c>
      <c r="D5069" s="5" t="s">
        <v>12</v>
      </c>
      <c r="E5069" s="5" t="s">
        <v>2396</v>
      </c>
    </row>
    <row r="5070" spans="1:5" x14ac:dyDescent="0.25">
      <c r="A5070" s="5">
        <f>5062</f>
      </c>
      <c r="B5070" s="5" t="s">
        <v>4312</v>
      </c>
      <c r="C5070" s="5" t="s">
        <v>11</v>
      </c>
      <c r="D5070" s="5" t="s">
        <v>12</v>
      </c>
      <c r="E5070" s="5" t="s">
        <v>2396</v>
      </c>
    </row>
    <row r="5071" spans="1:5" x14ac:dyDescent="0.25">
      <c r="A5071" s="5">
        <f>5063</f>
      </c>
      <c r="B5071" s="5" t="s">
        <v>4313</v>
      </c>
      <c r="C5071" s="5" t="s">
        <v>11</v>
      </c>
      <c r="D5071" s="5" t="s">
        <v>12</v>
      </c>
      <c r="E5071" s="5" t="s">
        <v>2396</v>
      </c>
    </row>
    <row r="5072" spans="1:5" x14ac:dyDescent="0.25">
      <c r="A5072" s="5">
        <f>5064</f>
      </c>
      <c r="B5072" s="5" t="s">
        <v>4314</v>
      </c>
      <c r="C5072" s="5" t="s">
        <v>11</v>
      </c>
      <c r="D5072" s="5" t="s">
        <v>12</v>
      </c>
      <c r="E5072" s="5" t="s">
        <v>2396</v>
      </c>
    </row>
    <row r="5073" spans="1:5" x14ac:dyDescent="0.25">
      <c r="A5073" s="5">
        <f>5065</f>
      </c>
      <c r="B5073" s="5" t="s">
        <v>4315</v>
      </c>
      <c r="C5073" s="5" t="s">
        <v>11</v>
      </c>
      <c r="D5073" s="5" t="s">
        <v>12</v>
      </c>
      <c r="E5073" s="5" t="s">
        <v>2396</v>
      </c>
    </row>
    <row r="5074" spans="1:5" x14ac:dyDescent="0.25">
      <c r="A5074" s="5">
        <f>5066</f>
      </c>
      <c r="B5074" s="5" t="s">
        <v>4316</v>
      </c>
      <c r="C5074" s="5" t="s">
        <v>11</v>
      </c>
      <c r="D5074" s="5" t="s">
        <v>12</v>
      </c>
      <c r="E5074" s="5" t="s">
        <v>2396</v>
      </c>
    </row>
    <row r="5075" spans="1:5" x14ac:dyDescent="0.25">
      <c r="A5075" s="5">
        <f>5067</f>
      </c>
      <c r="B5075" s="5" t="s">
        <v>4317</v>
      </c>
      <c r="C5075" s="5" t="s">
        <v>11</v>
      </c>
      <c r="D5075" s="5" t="s">
        <v>12</v>
      </c>
      <c r="E5075" s="5" t="s">
        <v>2396</v>
      </c>
    </row>
    <row r="5076" spans="1:5" x14ac:dyDescent="0.25">
      <c r="A5076" s="5">
        <f>5068</f>
      </c>
      <c r="B5076" s="5" t="s">
        <v>4318</v>
      </c>
      <c r="C5076" s="5" t="s">
        <v>11</v>
      </c>
      <c r="D5076" s="5" t="s">
        <v>12</v>
      </c>
      <c r="E5076" s="5" t="s">
        <v>2396</v>
      </c>
    </row>
    <row r="5077" spans="1:5" x14ac:dyDescent="0.25">
      <c r="A5077" s="5">
        <f>5069</f>
      </c>
      <c r="B5077" s="5" t="s">
        <v>4319</v>
      </c>
      <c r="C5077" s="5" t="s">
        <v>11</v>
      </c>
      <c r="D5077" s="5" t="s">
        <v>12</v>
      </c>
      <c r="E5077" s="5" t="s">
        <v>2396</v>
      </c>
    </row>
    <row r="5078" spans="1:5" x14ac:dyDescent="0.25">
      <c r="A5078" s="5">
        <f>5070</f>
      </c>
      <c r="B5078" s="5" t="s">
        <v>4320</v>
      </c>
      <c r="C5078" s="5" t="s">
        <v>11</v>
      </c>
      <c r="D5078" s="5" t="s">
        <v>12</v>
      </c>
      <c r="E5078" s="5" t="s">
        <v>2396</v>
      </c>
    </row>
    <row r="5079" spans="1:5" x14ac:dyDescent="0.25">
      <c r="A5079" s="5">
        <f>5071</f>
      </c>
      <c r="B5079" s="5" t="s">
        <v>4321</v>
      </c>
      <c r="C5079" s="5" t="s">
        <v>11</v>
      </c>
      <c r="D5079" s="5" t="s">
        <v>12</v>
      </c>
      <c r="E5079" s="5" t="s">
        <v>2396</v>
      </c>
    </row>
    <row r="5080" spans="1:5" x14ac:dyDescent="0.25">
      <c r="A5080" s="5">
        <f>5072</f>
      </c>
      <c r="B5080" s="5" t="s">
        <v>4322</v>
      </c>
      <c r="C5080" s="5" t="s">
        <v>11</v>
      </c>
      <c r="D5080" s="5" t="s">
        <v>12</v>
      </c>
      <c r="E5080" s="5" t="s">
        <v>2396</v>
      </c>
    </row>
    <row r="5081" spans="1:5" x14ac:dyDescent="0.25">
      <c r="A5081" s="5">
        <f>5073</f>
      </c>
      <c r="B5081" s="5" t="s">
        <v>4323</v>
      </c>
      <c r="C5081" s="5" t="s">
        <v>11</v>
      </c>
      <c r="D5081" s="5" t="s">
        <v>12</v>
      </c>
      <c r="E5081" s="5" t="s">
        <v>2396</v>
      </c>
    </row>
    <row r="5082" spans="1:5" x14ac:dyDescent="0.25">
      <c r="A5082" s="5">
        <f>5074</f>
      </c>
      <c r="B5082" s="5" t="s">
        <v>4324</v>
      </c>
      <c r="C5082" s="5" t="s">
        <v>11</v>
      </c>
      <c r="D5082" s="5" t="s">
        <v>12</v>
      </c>
      <c r="E5082" s="5" t="s">
        <v>2396</v>
      </c>
    </row>
    <row r="5083" spans="1:5" x14ac:dyDescent="0.25">
      <c r="A5083" s="5">
        <f>5075</f>
      </c>
      <c r="B5083" s="5" t="s">
        <v>4325</v>
      </c>
      <c r="C5083" s="5" t="s">
        <v>11</v>
      </c>
      <c r="D5083" s="5" t="s">
        <v>12</v>
      </c>
      <c r="E5083" s="5" t="s">
        <v>2396</v>
      </c>
    </row>
    <row r="5084" spans="1:5" x14ac:dyDescent="0.25">
      <c r="A5084" s="5">
        <f>5076</f>
      </c>
      <c r="B5084" s="5" t="s">
        <v>4326</v>
      </c>
      <c r="C5084" s="5" t="s">
        <v>11</v>
      </c>
      <c r="D5084" s="5" t="s">
        <v>12</v>
      </c>
      <c r="E5084" s="5" t="s">
        <v>2396</v>
      </c>
    </row>
    <row r="5085" spans="1:5" x14ac:dyDescent="0.25">
      <c r="A5085" s="5">
        <f>5077</f>
      </c>
      <c r="B5085" s="5" t="s">
        <v>4327</v>
      </c>
      <c r="C5085" s="5" t="s">
        <v>11</v>
      </c>
      <c r="D5085" s="5" t="s">
        <v>12</v>
      </c>
      <c r="E5085" s="5" t="s">
        <v>2396</v>
      </c>
    </row>
    <row r="5086" spans="1:5" x14ac:dyDescent="0.25">
      <c r="A5086" s="5">
        <f>5078</f>
      </c>
      <c r="B5086" s="5" t="s">
        <v>4328</v>
      </c>
      <c r="C5086" s="5" t="s">
        <v>11</v>
      </c>
      <c r="D5086" s="5" t="s">
        <v>12</v>
      </c>
      <c r="E5086" s="5" t="s">
        <v>2396</v>
      </c>
    </row>
    <row r="5087" spans="1:5" x14ac:dyDescent="0.25">
      <c r="A5087" s="5">
        <f>5079</f>
      </c>
      <c r="B5087" s="5" t="s">
        <v>4329</v>
      </c>
      <c r="C5087" s="5" t="s">
        <v>11</v>
      </c>
      <c r="D5087" s="5" t="s">
        <v>12</v>
      </c>
      <c r="E5087" s="5" t="s">
        <v>2396</v>
      </c>
    </row>
    <row r="5088" spans="1:5" x14ac:dyDescent="0.25">
      <c r="A5088" s="5">
        <f>5080</f>
      </c>
      <c r="B5088" s="5" t="s">
        <v>4330</v>
      </c>
      <c r="C5088" s="5" t="s">
        <v>11</v>
      </c>
      <c r="D5088" s="5" t="s">
        <v>12</v>
      </c>
      <c r="E5088" s="5" t="s">
        <v>2396</v>
      </c>
    </row>
    <row r="5089" spans="1:5" x14ac:dyDescent="0.25">
      <c r="A5089" s="5">
        <f>5081</f>
      </c>
      <c r="B5089" s="5" t="s">
        <v>4331</v>
      </c>
      <c r="C5089" s="5" t="s">
        <v>11</v>
      </c>
      <c r="D5089" s="5" t="s">
        <v>12</v>
      </c>
      <c r="E5089" s="5" t="s">
        <v>2396</v>
      </c>
    </row>
    <row r="5090" spans="1:5" x14ac:dyDescent="0.25">
      <c r="A5090" s="5">
        <f>5082</f>
      </c>
      <c r="B5090" s="5" t="s">
        <v>4332</v>
      </c>
      <c r="C5090" s="5" t="s">
        <v>11</v>
      </c>
      <c r="D5090" s="5" t="s">
        <v>12</v>
      </c>
      <c r="E5090" s="5" t="s">
        <v>2396</v>
      </c>
    </row>
    <row r="5091" spans="1:5" x14ac:dyDescent="0.25">
      <c r="A5091" s="5">
        <f>5083</f>
      </c>
      <c r="B5091" s="5" t="s">
        <v>4333</v>
      </c>
      <c r="C5091" s="5" t="s">
        <v>11</v>
      </c>
      <c r="D5091" s="5" t="s">
        <v>12</v>
      </c>
      <c r="E5091" s="5" t="s">
        <v>2396</v>
      </c>
    </row>
    <row r="5092" spans="1:5" x14ac:dyDescent="0.25">
      <c r="A5092" s="5">
        <f>5084</f>
      </c>
      <c r="B5092" s="5" t="s">
        <v>4334</v>
      </c>
      <c r="C5092" s="5" t="s">
        <v>11</v>
      </c>
      <c r="D5092" s="5" t="s">
        <v>12</v>
      </c>
      <c r="E5092" s="5" t="s">
        <v>2396</v>
      </c>
    </row>
    <row r="5093" spans="1:5" x14ac:dyDescent="0.25">
      <c r="A5093" s="5">
        <f>5085</f>
      </c>
      <c r="B5093" s="5" t="s">
        <v>4335</v>
      </c>
      <c r="C5093" s="5" t="s">
        <v>11</v>
      </c>
      <c r="D5093" s="5" t="s">
        <v>12</v>
      </c>
      <c r="E5093" s="5" t="s">
        <v>2396</v>
      </c>
    </row>
    <row r="5094" spans="1:5" x14ac:dyDescent="0.25">
      <c r="A5094" s="5">
        <f>5086</f>
      </c>
      <c r="B5094" s="5" t="s">
        <v>4336</v>
      </c>
      <c r="C5094" s="5" t="s">
        <v>11</v>
      </c>
      <c r="D5094" s="5" t="s">
        <v>12</v>
      </c>
      <c r="E5094" s="5" t="s">
        <v>2396</v>
      </c>
    </row>
    <row r="5095" spans="1:5" x14ac:dyDescent="0.25">
      <c r="A5095" s="5">
        <f>5087</f>
      </c>
      <c r="B5095" s="5" t="s">
        <v>4337</v>
      </c>
      <c r="C5095" s="5" t="s">
        <v>11</v>
      </c>
      <c r="D5095" s="5" t="s">
        <v>12</v>
      </c>
      <c r="E5095" s="5" t="s">
        <v>2396</v>
      </c>
    </row>
    <row r="5096" spans="1:5" x14ac:dyDescent="0.25">
      <c r="A5096" s="5">
        <f>5088</f>
      </c>
      <c r="B5096" s="5" t="s">
        <v>4338</v>
      </c>
      <c r="C5096" s="5" t="s">
        <v>11</v>
      </c>
      <c r="D5096" s="5" t="s">
        <v>12</v>
      </c>
      <c r="E5096" s="5" t="s">
        <v>3962</v>
      </c>
    </row>
    <row r="5097" spans="1:5" x14ac:dyDescent="0.25">
      <c r="A5097" s="5">
        <f>5089</f>
      </c>
      <c r="B5097" s="5" t="s">
        <v>4339</v>
      </c>
      <c r="C5097" s="5" t="s">
        <v>11</v>
      </c>
      <c r="D5097" s="5" t="s">
        <v>12</v>
      </c>
      <c r="E5097" s="5" t="s">
        <v>3962</v>
      </c>
    </row>
    <row r="5098" spans="1:5" x14ac:dyDescent="0.25">
      <c r="A5098" s="5">
        <f>5090</f>
      </c>
      <c r="B5098" s="5" t="s">
        <v>4340</v>
      </c>
      <c r="C5098" s="5" t="s">
        <v>11</v>
      </c>
      <c r="D5098" s="5" t="s">
        <v>12</v>
      </c>
      <c r="E5098" s="5" t="s">
        <v>3962</v>
      </c>
    </row>
    <row r="5099" spans="1:5" x14ac:dyDescent="0.25">
      <c r="A5099" s="5">
        <f>5091</f>
      </c>
      <c r="B5099" s="5" t="s">
        <v>4341</v>
      </c>
      <c r="C5099" s="5" t="s">
        <v>11</v>
      </c>
      <c r="D5099" s="5" t="s">
        <v>12</v>
      </c>
      <c r="E5099" s="5" t="s">
        <v>3962</v>
      </c>
    </row>
    <row r="5100" spans="1:5" x14ac:dyDescent="0.25">
      <c r="A5100" s="5">
        <f>5092</f>
      </c>
      <c r="B5100" s="5" t="s">
        <v>4342</v>
      </c>
      <c r="C5100" s="5" t="s">
        <v>11</v>
      </c>
      <c r="D5100" s="5" t="s">
        <v>12</v>
      </c>
      <c r="E5100" s="5" t="s">
        <v>3962</v>
      </c>
    </row>
    <row r="5101" spans="1:5" x14ac:dyDescent="0.25">
      <c r="A5101" s="5">
        <f>5093</f>
      </c>
      <c r="B5101" s="5" t="s">
        <v>4343</v>
      </c>
      <c r="C5101" s="5" t="s">
        <v>11</v>
      </c>
      <c r="D5101" s="5" t="s">
        <v>12</v>
      </c>
      <c r="E5101" s="5" t="s">
        <v>3962</v>
      </c>
    </row>
    <row r="5102" spans="1:5" x14ac:dyDescent="0.25">
      <c r="A5102" s="5">
        <f>5094</f>
      </c>
      <c r="B5102" s="5" t="s">
        <v>4344</v>
      </c>
      <c r="C5102" s="5" t="s">
        <v>11</v>
      </c>
      <c r="D5102" s="5" t="s">
        <v>12</v>
      </c>
      <c r="E5102" s="5" t="s">
        <v>3962</v>
      </c>
    </row>
    <row r="5103" spans="1:5" x14ac:dyDescent="0.25">
      <c r="A5103" s="5">
        <f>5095</f>
      </c>
      <c r="B5103" s="5" t="s">
        <v>4345</v>
      </c>
      <c r="C5103" s="5" t="s">
        <v>11</v>
      </c>
      <c r="D5103" s="5" t="s">
        <v>12</v>
      </c>
      <c r="E5103" s="5" t="s">
        <v>3962</v>
      </c>
    </row>
    <row r="5104" spans="1:5" x14ac:dyDescent="0.25">
      <c r="A5104" s="5">
        <f>5096</f>
      </c>
      <c r="B5104" s="5" t="s">
        <v>4346</v>
      </c>
      <c r="C5104" s="5" t="s">
        <v>11</v>
      </c>
      <c r="D5104" s="5" t="s">
        <v>12</v>
      </c>
      <c r="E5104" s="5" t="s">
        <v>3962</v>
      </c>
    </row>
    <row r="5105" spans="1:5" x14ac:dyDescent="0.25">
      <c r="A5105" s="5">
        <f>5097</f>
      </c>
      <c r="B5105" s="5" t="s">
        <v>4347</v>
      </c>
      <c r="C5105" s="5" t="s">
        <v>11</v>
      </c>
      <c r="D5105" s="5" t="s">
        <v>12</v>
      </c>
      <c r="E5105" s="5" t="s">
        <v>3962</v>
      </c>
    </row>
    <row r="5106" spans="1:5" x14ac:dyDescent="0.25">
      <c r="A5106" s="5">
        <f>5098</f>
      </c>
      <c r="B5106" s="5" t="s">
        <v>4348</v>
      </c>
      <c r="C5106" s="5" t="s">
        <v>11</v>
      </c>
      <c r="D5106" s="5" t="s">
        <v>12</v>
      </c>
      <c r="E5106" s="5" t="s">
        <v>3962</v>
      </c>
    </row>
    <row r="5107" spans="1:5" x14ac:dyDescent="0.25">
      <c r="A5107" s="5">
        <f>5099</f>
      </c>
      <c r="B5107" s="5" t="s">
        <v>4349</v>
      </c>
      <c r="C5107" s="5" t="s">
        <v>11</v>
      </c>
      <c r="D5107" s="5" t="s">
        <v>12</v>
      </c>
      <c r="E5107" s="5" t="s">
        <v>3962</v>
      </c>
    </row>
    <row r="5108" spans="1:5" x14ac:dyDescent="0.25">
      <c r="A5108" s="5">
        <f>5100</f>
      </c>
      <c r="B5108" s="5" t="s">
        <v>4350</v>
      </c>
      <c r="C5108" s="5" t="s">
        <v>11</v>
      </c>
      <c r="D5108" s="5" t="s">
        <v>12</v>
      </c>
      <c r="E5108" s="5" t="s">
        <v>3962</v>
      </c>
    </row>
    <row r="5109" spans="1:5" x14ac:dyDescent="0.25">
      <c r="A5109" s="5">
        <f>5101</f>
      </c>
      <c r="B5109" s="5" t="s">
        <v>4351</v>
      </c>
      <c r="C5109" s="5" t="s">
        <v>11</v>
      </c>
      <c r="D5109" s="5" t="s">
        <v>12</v>
      </c>
      <c r="E5109" s="5" t="s">
        <v>3962</v>
      </c>
    </row>
    <row r="5110" spans="1:5" x14ac:dyDescent="0.25">
      <c r="A5110" s="5">
        <f>5102</f>
      </c>
      <c r="B5110" s="5" t="s">
        <v>4352</v>
      </c>
      <c r="C5110" s="5" t="s">
        <v>11</v>
      </c>
      <c r="D5110" s="5" t="s">
        <v>12</v>
      </c>
      <c r="E5110" s="5" t="s">
        <v>3962</v>
      </c>
    </row>
    <row r="5111" spans="1:5" x14ac:dyDescent="0.25">
      <c r="A5111" s="5">
        <f>5103</f>
      </c>
      <c r="B5111" s="5" t="s">
        <v>4353</v>
      </c>
      <c r="C5111" s="5" t="s">
        <v>11</v>
      </c>
      <c r="D5111" s="5" t="s">
        <v>12</v>
      </c>
      <c r="E5111" s="5" t="s">
        <v>3962</v>
      </c>
    </row>
    <row r="5112" spans="1:5" x14ac:dyDescent="0.25">
      <c r="A5112" s="5">
        <f>5104</f>
      </c>
      <c r="B5112" s="5" t="s">
        <v>4354</v>
      </c>
      <c r="C5112" s="5" t="s">
        <v>11</v>
      </c>
      <c r="D5112" s="5" t="s">
        <v>12</v>
      </c>
      <c r="E5112" s="5" t="s">
        <v>3962</v>
      </c>
    </row>
    <row r="5113" spans="1:5" x14ac:dyDescent="0.25">
      <c r="A5113" s="5">
        <f>5105</f>
      </c>
      <c r="B5113" s="5" t="s">
        <v>4355</v>
      </c>
      <c r="C5113" s="5" t="s">
        <v>11</v>
      </c>
      <c r="D5113" s="5" t="s">
        <v>12</v>
      </c>
      <c r="E5113" s="5" t="s">
        <v>3962</v>
      </c>
    </row>
    <row r="5114" spans="1:5" x14ac:dyDescent="0.25">
      <c r="A5114" s="5">
        <f>5106</f>
      </c>
      <c r="B5114" s="5" t="s">
        <v>4356</v>
      </c>
      <c r="C5114" s="5" t="s">
        <v>11</v>
      </c>
      <c r="D5114" s="5" t="s">
        <v>12</v>
      </c>
      <c r="E5114" s="5" t="s">
        <v>3962</v>
      </c>
    </row>
    <row r="5115" spans="1:5" x14ac:dyDescent="0.25">
      <c r="A5115" s="5">
        <f>5107</f>
      </c>
      <c r="B5115" s="5" t="s">
        <v>4357</v>
      </c>
      <c r="C5115" s="5" t="s">
        <v>11</v>
      </c>
      <c r="D5115" s="5" t="s">
        <v>12</v>
      </c>
      <c r="E5115" s="5" t="s">
        <v>3962</v>
      </c>
    </row>
    <row r="5116" spans="1:5" x14ac:dyDescent="0.25">
      <c r="A5116" s="5">
        <f>5108</f>
      </c>
      <c r="B5116" s="5" t="s">
        <v>4358</v>
      </c>
      <c r="C5116" s="5" t="s">
        <v>11</v>
      </c>
      <c r="D5116" s="5" t="s">
        <v>12</v>
      </c>
      <c r="E5116" s="5" t="s">
        <v>3962</v>
      </c>
    </row>
    <row r="5117" spans="1:5" x14ac:dyDescent="0.25">
      <c r="A5117" s="5">
        <f>5109</f>
      </c>
      <c r="B5117" s="5" t="s">
        <v>4359</v>
      </c>
      <c r="C5117" s="5" t="s">
        <v>11</v>
      </c>
      <c r="D5117" s="5" t="s">
        <v>12</v>
      </c>
      <c r="E5117" s="5" t="s">
        <v>3962</v>
      </c>
    </row>
    <row r="5118" spans="1:5" x14ac:dyDescent="0.25">
      <c r="A5118" s="5">
        <f>5110</f>
      </c>
      <c r="B5118" s="5" t="s">
        <v>4360</v>
      </c>
      <c r="C5118" s="5" t="s">
        <v>11</v>
      </c>
      <c r="D5118" s="5" t="s">
        <v>12</v>
      </c>
      <c r="E5118" s="5" t="s">
        <v>3962</v>
      </c>
    </row>
    <row r="5119" spans="1:5" x14ac:dyDescent="0.25">
      <c r="A5119" s="5">
        <f>5111</f>
      </c>
      <c r="B5119" s="5" t="s">
        <v>4361</v>
      </c>
      <c r="C5119" s="5" t="s">
        <v>11</v>
      </c>
      <c r="D5119" s="5" t="s">
        <v>12</v>
      </c>
      <c r="E5119" s="5" t="s">
        <v>3962</v>
      </c>
    </row>
    <row r="5120" spans="1:5" x14ac:dyDescent="0.25">
      <c r="A5120" s="5">
        <f>5112</f>
      </c>
      <c r="B5120" s="5" t="s">
        <v>4362</v>
      </c>
      <c r="C5120" s="5" t="s">
        <v>11</v>
      </c>
      <c r="D5120" s="5" t="s">
        <v>12</v>
      </c>
      <c r="E5120" s="5" t="s">
        <v>3962</v>
      </c>
    </row>
    <row r="5121" spans="1:5" x14ac:dyDescent="0.25">
      <c r="A5121" s="5">
        <f>5113</f>
      </c>
      <c r="B5121" s="5" t="s">
        <v>4363</v>
      </c>
      <c r="C5121" s="5" t="s">
        <v>11</v>
      </c>
      <c r="D5121" s="5" t="s">
        <v>12</v>
      </c>
      <c r="E5121" s="5" t="s">
        <v>3962</v>
      </c>
    </row>
    <row r="5122" spans="1:5" x14ac:dyDescent="0.25">
      <c r="A5122" s="5">
        <f>5114</f>
      </c>
      <c r="B5122" s="5" t="s">
        <v>4364</v>
      </c>
      <c r="C5122" s="5" t="s">
        <v>11</v>
      </c>
      <c r="D5122" s="5" t="s">
        <v>12</v>
      </c>
      <c r="E5122" s="5" t="s">
        <v>3962</v>
      </c>
    </row>
    <row r="5123" spans="1:5" x14ac:dyDescent="0.25">
      <c r="A5123" s="5">
        <f>5115</f>
      </c>
      <c r="B5123" s="5" t="s">
        <v>4365</v>
      </c>
      <c r="C5123" s="5" t="s">
        <v>11</v>
      </c>
      <c r="D5123" s="5" t="s">
        <v>12</v>
      </c>
      <c r="E5123" s="5" t="s">
        <v>3962</v>
      </c>
    </row>
    <row r="5124" spans="1:5" x14ac:dyDescent="0.25">
      <c r="A5124" s="5">
        <f>5116</f>
      </c>
      <c r="B5124" s="5" t="s">
        <v>4366</v>
      </c>
      <c r="C5124" s="5" t="s">
        <v>11</v>
      </c>
      <c r="D5124" s="5" t="s">
        <v>12</v>
      </c>
      <c r="E5124" s="5" t="s">
        <v>3962</v>
      </c>
    </row>
    <row r="5125" spans="1:5" x14ac:dyDescent="0.25">
      <c r="A5125" s="5">
        <f>5117</f>
      </c>
      <c r="B5125" s="5" t="s">
        <v>4367</v>
      </c>
      <c r="C5125" s="5" t="s">
        <v>11</v>
      </c>
      <c r="D5125" s="5" t="s">
        <v>12</v>
      </c>
      <c r="E5125" s="5" t="s">
        <v>3962</v>
      </c>
    </row>
    <row r="5126" spans="1:5" x14ac:dyDescent="0.25">
      <c r="A5126" s="5">
        <f>5118</f>
      </c>
      <c r="B5126" s="5" t="s">
        <v>4368</v>
      </c>
      <c r="C5126" s="5" t="s">
        <v>11</v>
      </c>
      <c r="D5126" s="5" t="s">
        <v>12</v>
      </c>
      <c r="E5126" s="5" t="s">
        <v>3962</v>
      </c>
    </row>
    <row r="5127" spans="1:5" x14ac:dyDescent="0.25">
      <c r="A5127" s="5">
        <f>5119</f>
      </c>
      <c r="B5127" s="5" t="s">
        <v>4369</v>
      </c>
      <c r="C5127" s="5" t="s">
        <v>11</v>
      </c>
      <c r="D5127" s="5" t="s">
        <v>12</v>
      </c>
      <c r="E5127" s="5" t="s">
        <v>3962</v>
      </c>
    </row>
    <row r="5128" spans="1:5" x14ac:dyDescent="0.25">
      <c r="A5128" s="5">
        <f>5120</f>
      </c>
      <c r="B5128" s="5" t="s">
        <v>4370</v>
      </c>
      <c r="C5128" s="5" t="s">
        <v>11</v>
      </c>
      <c r="D5128" s="5" t="s">
        <v>12</v>
      </c>
      <c r="E5128" s="5" t="s">
        <v>3962</v>
      </c>
    </row>
    <row r="5129" spans="1:5" x14ac:dyDescent="0.25">
      <c r="A5129" s="5">
        <f>5121</f>
      </c>
      <c r="B5129" s="5" t="s">
        <v>4371</v>
      </c>
      <c r="C5129" s="5" t="s">
        <v>11</v>
      </c>
      <c r="D5129" s="5" t="s">
        <v>12</v>
      </c>
      <c r="E5129" s="5" t="s">
        <v>3962</v>
      </c>
    </row>
    <row r="5130" spans="1:5" x14ac:dyDescent="0.25">
      <c r="A5130" s="5">
        <f>5122</f>
      </c>
      <c r="B5130" s="5" t="s">
        <v>4372</v>
      </c>
      <c r="C5130" s="5" t="s">
        <v>11</v>
      </c>
      <c r="D5130" s="5" t="s">
        <v>12</v>
      </c>
      <c r="E5130" s="5" t="s">
        <v>3962</v>
      </c>
    </row>
    <row r="5131" spans="1:5" x14ac:dyDescent="0.25">
      <c r="A5131" s="5">
        <f>5123</f>
      </c>
      <c r="B5131" s="5" t="s">
        <v>4373</v>
      </c>
      <c r="C5131" s="5" t="s">
        <v>11</v>
      </c>
      <c r="D5131" s="5" t="s">
        <v>12</v>
      </c>
      <c r="E5131" s="5" t="s">
        <v>3962</v>
      </c>
    </row>
    <row r="5132" spans="1:5" x14ac:dyDescent="0.25">
      <c r="A5132" s="5">
        <f>5124</f>
      </c>
      <c r="B5132" s="5" t="s">
        <v>4374</v>
      </c>
      <c r="C5132" s="5" t="s">
        <v>11</v>
      </c>
      <c r="D5132" s="5" t="s">
        <v>12</v>
      </c>
      <c r="E5132" s="5" t="s">
        <v>3962</v>
      </c>
    </row>
    <row r="5133" spans="1:5" x14ac:dyDescent="0.25">
      <c r="A5133" s="5">
        <f>5125</f>
      </c>
      <c r="B5133" s="5" t="s">
        <v>4375</v>
      </c>
      <c r="C5133" s="5" t="s">
        <v>11</v>
      </c>
      <c r="D5133" s="5" t="s">
        <v>12</v>
      </c>
      <c r="E5133" s="5" t="s">
        <v>3962</v>
      </c>
    </row>
    <row r="5134" spans="1:5" x14ac:dyDescent="0.25">
      <c r="A5134" s="5">
        <f>5126</f>
      </c>
      <c r="B5134" s="5" t="s">
        <v>4376</v>
      </c>
      <c r="C5134" s="5" t="s">
        <v>11</v>
      </c>
      <c r="D5134" s="5" t="s">
        <v>12</v>
      </c>
      <c r="E5134" s="5" t="s">
        <v>3962</v>
      </c>
    </row>
    <row r="5135" spans="1:5" x14ac:dyDescent="0.25">
      <c r="A5135" s="5">
        <f>5127</f>
      </c>
      <c r="B5135" s="5" t="s">
        <v>4377</v>
      </c>
      <c r="C5135" s="5" t="s">
        <v>11</v>
      </c>
      <c r="D5135" s="5" t="s">
        <v>12</v>
      </c>
      <c r="E5135" s="5" t="s">
        <v>3962</v>
      </c>
    </row>
    <row r="5136" spans="1:5" x14ac:dyDescent="0.25">
      <c r="A5136" s="5">
        <f>5128</f>
      </c>
      <c r="B5136" s="5" t="s">
        <v>4378</v>
      </c>
      <c r="C5136" s="5" t="s">
        <v>11</v>
      </c>
      <c r="D5136" s="5" t="s">
        <v>12</v>
      </c>
      <c r="E5136" s="5" t="s">
        <v>3962</v>
      </c>
    </row>
    <row r="5137" spans="1:5" x14ac:dyDescent="0.25">
      <c r="A5137" s="5">
        <f>5129</f>
      </c>
      <c r="B5137" s="5" t="s">
        <v>4379</v>
      </c>
      <c r="C5137" s="5" t="s">
        <v>11</v>
      </c>
      <c r="D5137" s="5" t="s">
        <v>12</v>
      </c>
      <c r="E5137" s="5" t="s">
        <v>3962</v>
      </c>
    </row>
    <row r="5138" spans="1:5" x14ac:dyDescent="0.25">
      <c r="A5138" s="5">
        <f>5130</f>
      </c>
      <c r="B5138" s="5" t="s">
        <v>4380</v>
      </c>
      <c r="C5138" s="5" t="s">
        <v>11</v>
      </c>
      <c r="D5138" s="5" t="s">
        <v>12</v>
      </c>
      <c r="E5138" s="5" t="s">
        <v>3962</v>
      </c>
    </row>
    <row r="5139" spans="1:5" x14ac:dyDescent="0.25">
      <c r="A5139" s="5">
        <f>5131</f>
      </c>
      <c r="B5139" s="5" t="s">
        <v>4381</v>
      </c>
      <c r="C5139" s="5" t="s">
        <v>11</v>
      </c>
      <c r="D5139" s="5" t="s">
        <v>12</v>
      </c>
      <c r="E5139" s="5" t="s">
        <v>3962</v>
      </c>
    </row>
    <row r="5140" spans="1:5" x14ac:dyDescent="0.25">
      <c r="A5140" s="5">
        <f>5132</f>
      </c>
      <c r="B5140" s="5" t="s">
        <v>4382</v>
      </c>
      <c r="C5140" s="5" t="s">
        <v>11</v>
      </c>
      <c r="D5140" s="5" t="s">
        <v>12</v>
      </c>
      <c r="E5140" s="5" t="s">
        <v>3962</v>
      </c>
    </row>
    <row r="5141" spans="1:5" x14ac:dyDescent="0.25">
      <c r="A5141" s="5">
        <f>5133</f>
      </c>
      <c r="B5141" s="5" t="s">
        <v>4383</v>
      </c>
      <c r="C5141" s="5" t="s">
        <v>11</v>
      </c>
      <c r="D5141" s="5" t="s">
        <v>12</v>
      </c>
      <c r="E5141" s="5" t="s">
        <v>3962</v>
      </c>
    </row>
    <row r="5142" spans="1:5" x14ac:dyDescent="0.25">
      <c r="A5142" s="5">
        <f>5134</f>
      </c>
      <c r="B5142" s="5" t="s">
        <v>4384</v>
      </c>
      <c r="C5142" s="5" t="s">
        <v>11</v>
      </c>
      <c r="D5142" s="5" t="s">
        <v>12</v>
      </c>
      <c r="E5142" s="5" t="s">
        <v>3962</v>
      </c>
    </row>
    <row r="5143" spans="1:5" x14ac:dyDescent="0.25">
      <c r="A5143" s="5">
        <f>5135</f>
      </c>
      <c r="B5143" s="5" t="s">
        <v>4385</v>
      </c>
      <c r="C5143" s="5" t="s">
        <v>11</v>
      </c>
      <c r="D5143" s="5" t="s">
        <v>12</v>
      </c>
      <c r="E5143" s="5" t="s">
        <v>3962</v>
      </c>
    </row>
    <row r="5144" spans="1:5" x14ac:dyDescent="0.25">
      <c r="A5144" s="5">
        <f>5136</f>
      </c>
      <c r="B5144" s="5" t="s">
        <v>4386</v>
      </c>
      <c r="C5144" s="5" t="s">
        <v>11</v>
      </c>
      <c r="D5144" s="5" t="s">
        <v>12</v>
      </c>
      <c r="E5144" s="5" t="s">
        <v>3962</v>
      </c>
    </row>
    <row r="5145" spans="1:5" x14ac:dyDescent="0.25">
      <c r="A5145" s="5">
        <f>5137</f>
      </c>
      <c r="B5145" s="5" t="s">
        <v>4387</v>
      </c>
      <c r="C5145" s="5" t="s">
        <v>11</v>
      </c>
      <c r="D5145" s="5" t="s">
        <v>12</v>
      </c>
      <c r="E5145" s="5" t="s">
        <v>3962</v>
      </c>
    </row>
    <row r="5146" spans="1:5" x14ac:dyDescent="0.25">
      <c r="A5146" s="5">
        <f>5138</f>
      </c>
      <c r="B5146" s="5" t="s">
        <v>4388</v>
      </c>
      <c r="C5146" s="5" t="s">
        <v>11</v>
      </c>
      <c r="D5146" s="5" t="s">
        <v>12</v>
      </c>
      <c r="E5146" s="5" t="s">
        <v>3962</v>
      </c>
    </row>
    <row r="5147" spans="1:5" x14ac:dyDescent="0.25">
      <c r="A5147" s="5">
        <f>5139</f>
      </c>
      <c r="B5147" s="5" t="s">
        <v>4389</v>
      </c>
      <c r="C5147" s="5" t="s">
        <v>11</v>
      </c>
      <c r="D5147" s="5" t="s">
        <v>12</v>
      </c>
      <c r="E5147" s="5" t="s">
        <v>3962</v>
      </c>
    </row>
    <row r="5148" spans="1:5" x14ac:dyDescent="0.25">
      <c r="A5148" s="5">
        <f>5140</f>
      </c>
      <c r="B5148" s="5" t="s">
        <v>4390</v>
      </c>
      <c r="C5148" s="5" t="s">
        <v>11</v>
      </c>
      <c r="D5148" s="5" t="s">
        <v>12</v>
      </c>
      <c r="E5148" s="5" t="s">
        <v>3962</v>
      </c>
    </row>
    <row r="5149" spans="1:5" x14ac:dyDescent="0.25">
      <c r="A5149" s="5">
        <f>5141</f>
      </c>
      <c r="B5149" s="5" t="s">
        <v>4391</v>
      </c>
      <c r="C5149" s="5" t="s">
        <v>11</v>
      </c>
      <c r="D5149" s="5" t="s">
        <v>12</v>
      </c>
      <c r="E5149" s="5" t="s">
        <v>3962</v>
      </c>
    </row>
    <row r="5150" spans="1:5" x14ac:dyDescent="0.25">
      <c r="A5150" s="5">
        <f>5142</f>
      </c>
      <c r="B5150" s="5" t="s">
        <v>4392</v>
      </c>
      <c r="C5150" s="5" t="s">
        <v>11</v>
      </c>
      <c r="D5150" s="5" t="s">
        <v>12</v>
      </c>
      <c r="E5150" s="5" t="s">
        <v>3962</v>
      </c>
    </row>
    <row r="5151" spans="1:5" x14ac:dyDescent="0.25">
      <c r="A5151" s="5">
        <f>5143</f>
      </c>
      <c r="B5151" s="5" t="s">
        <v>4393</v>
      </c>
      <c r="C5151" s="5" t="s">
        <v>11</v>
      </c>
      <c r="D5151" s="5" t="s">
        <v>12</v>
      </c>
      <c r="E5151" s="5" t="s">
        <v>3962</v>
      </c>
    </row>
    <row r="5152" spans="1:5" x14ac:dyDescent="0.25">
      <c r="A5152" s="5">
        <f>5144</f>
      </c>
      <c r="B5152" s="5" t="s">
        <v>4394</v>
      </c>
      <c r="C5152" s="5" t="s">
        <v>11</v>
      </c>
      <c r="D5152" s="5" t="s">
        <v>12</v>
      </c>
      <c r="E5152" s="5" t="s">
        <v>3962</v>
      </c>
    </row>
    <row r="5153" spans="1:5" x14ac:dyDescent="0.25">
      <c r="A5153" s="5">
        <f>5145</f>
      </c>
      <c r="B5153" s="5" t="s">
        <v>4395</v>
      </c>
      <c r="C5153" s="5" t="s">
        <v>11</v>
      </c>
      <c r="D5153" s="5" t="s">
        <v>12</v>
      </c>
      <c r="E5153" s="5" t="s">
        <v>3962</v>
      </c>
    </row>
    <row r="5154" spans="1:5" x14ac:dyDescent="0.25">
      <c r="A5154" s="5">
        <f>5146</f>
      </c>
      <c r="B5154" s="5" t="s">
        <v>4396</v>
      </c>
      <c r="C5154" s="5" t="s">
        <v>11</v>
      </c>
      <c r="D5154" s="5" t="s">
        <v>12</v>
      </c>
      <c r="E5154" s="5" t="s">
        <v>3962</v>
      </c>
    </row>
    <row r="5155" spans="1:5" x14ac:dyDescent="0.25">
      <c r="A5155" s="5">
        <f>5147</f>
      </c>
      <c r="B5155" s="5" t="s">
        <v>4397</v>
      </c>
      <c r="C5155" s="5" t="s">
        <v>11</v>
      </c>
      <c r="D5155" s="5" t="s">
        <v>12</v>
      </c>
      <c r="E5155" s="5" t="s">
        <v>3962</v>
      </c>
    </row>
    <row r="5156" spans="1:5" x14ac:dyDescent="0.25">
      <c r="A5156" s="5">
        <f>5148</f>
      </c>
      <c r="B5156" s="5" t="s">
        <v>4398</v>
      </c>
      <c r="C5156" s="5" t="s">
        <v>11</v>
      </c>
      <c r="D5156" s="5" t="s">
        <v>12</v>
      </c>
      <c r="E5156" s="5" t="s">
        <v>3962</v>
      </c>
    </row>
    <row r="5157" spans="1:5" x14ac:dyDescent="0.25">
      <c r="A5157" s="5">
        <f>5149</f>
      </c>
      <c r="B5157" s="5" t="s">
        <v>4399</v>
      </c>
      <c r="C5157" s="5" t="s">
        <v>11</v>
      </c>
      <c r="D5157" s="5" t="s">
        <v>12</v>
      </c>
      <c r="E5157" s="5" t="s">
        <v>3962</v>
      </c>
    </row>
    <row r="5158" spans="1:5" x14ac:dyDescent="0.25">
      <c r="A5158" s="5">
        <f>5150</f>
      </c>
      <c r="B5158" s="5" t="s">
        <v>4400</v>
      </c>
      <c r="C5158" s="5" t="s">
        <v>11</v>
      </c>
      <c r="D5158" s="5" t="s">
        <v>12</v>
      </c>
      <c r="E5158" s="5" t="s">
        <v>3962</v>
      </c>
    </row>
    <row r="5159" spans="1:5" x14ac:dyDescent="0.25">
      <c r="A5159" s="5">
        <f>5151</f>
      </c>
      <c r="B5159" s="5" t="s">
        <v>4401</v>
      </c>
      <c r="C5159" s="5" t="s">
        <v>11</v>
      </c>
      <c r="D5159" s="5" t="s">
        <v>12</v>
      </c>
      <c r="E5159" s="5" t="s">
        <v>3962</v>
      </c>
    </row>
    <row r="5160" spans="1:5" x14ac:dyDescent="0.25">
      <c r="A5160" s="5">
        <f>5152</f>
      </c>
      <c r="B5160" s="5" t="s">
        <v>4402</v>
      </c>
      <c r="C5160" s="5" t="s">
        <v>11</v>
      </c>
      <c r="D5160" s="5" t="s">
        <v>12</v>
      </c>
      <c r="E5160" s="5" t="s">
        <v>3962</v>
      </c>
    </row>
    <row r="5161" spans="1:5" x14ac:dyDescent="0.25">
      <c r="A5161" s="5">
        <f>5153</f>
      </c>
      <c r="B5161" s="5" t="s">
        <v>4403</v>
      </c>
      <c r="C5161" s="5" t="s">
        <v>11</v>
      </c>
      <c r="D5161" s="5" t="s">
        <v>12</v>
      </c>
      <c r="E5161" s="5" t="s">
        <v>3962</v>
      </c>
    </row>
    <row r="5162" spans="1:5" x14ac:dyDescent="0.25">
      <c r="A5162" s="5">
        <f>5154</f>
      </c>
      <c r="B5162" s="5" t="s">
        <v>4404</v>
      </c>
      <c r="C5162" s="5" t="s">
        <v>11</v>
      </c>
      <c r="D5162" s="5" t="s">
        <v>12</v>
      </c>
      <c r="E5162" s="5" t="s">
        <v>3962</v>
      </c>
    </row>
    <row r="5163" spans="1:5" x14ac:dyDescent="0.25">
      <c r="A5163" s="5">
        <f>5155</f>
      </c>
      <c r="B5163" s="5" t="s">
        <v>4405</v>
      </c>
      <c r="C5163" s="5" t="s">
        <v>11</v>
      </c>
      <c r="D5163" s="5" t="s">
        <v>12</v>
      </c>
      <c r="E5163" s="5" t="s">
        <v>3962</v>
      </c>
    </row>
    <row r="5164" spans="1:5" x14ac:dyDescent="0.25">
      <c r="A5164" s="5">
        <f>5156</f>
      </c>
      <c r="B5164" s="5" t="s">
        <v>4406</v>
      </c>
      <c r="C5164" s="5" t="s">
        <v>11</v>
      </c>
      <c r="D5164" s="5" t="s">
        <v>12</v>
      </c>
      <c r="E5164" s="5" t="s">
        <v>3962</v>
      </c>
    </row>
    <row r="5165" spans="1:5" x14ac:dyDescent="0.25">
      <c r="A5165" s="5">
        <f>5157</f>
      </c>
      <c r="B5165" s="5" t="s">
        <v>4407</v>
      </c>
      <c r="C5165" s="5" t="s">
        <v>11</v>
      </c>
      <c r="D5165" s="5" t="s">
        <v>12</v>
      </c>
      <c r="E5165" s="5" t="s">
        <v>3962</v>
      </c>
    </row>
    <row r="5166" spans="1:5" x14ac:dyDescent="0.25">
      <c r="A5166" s="5">
        <f>5158</f>
      </c>
      <c r="B5166" s="5" t="s">
        <v>4408</v>
      </c>
      <c r="C5166" s="5" t="s">
        <v>11</v>
      </c>
      <c r="D5166" s="5" t="s">
        <v>12</v>
      </c>
      <c r="E5166" s="5" t="s">
        <v>3962</v>
      </c>
    </row>
    <row r="5167" spans="1:5" x14ac:dyDescent="0.25">
      <c r="A5167" s="5">
        <f>5159</f>
      </c>
      <c r="B5167" s="5" t="s">
        <v>4409</v>
      </c>
      <c r="C5167" s="5" t="s">
        <v>11</v>
      </c>
      <c r="D5167" s="5" t="s">
        <v>12</v>
      </c>
      <c r="E5167" s="5" t="s">
        <v>3962</v>
      </c>
    </row>
    <row r="5168" spans="1:5" x14ac:dyDescent="0.25">
      <c r="A5168" s="5">
        <f>5160</f>
      </c>
      <c r="B5168" s="5" t="s">
        <v>4410</v>
      </c>
      <c r="C5168" s="5" t="s">
        <v>11</v>
      </c>
      <c r="D5168" s="5" t="s">
        <v>12</v>
      </c>
      <c r="E5168" s="5" t="s">
        <v>3962</v>
      </c>
    </row>
    <row r="5169" spans="1:5" x14ac:dyDescent="0.25">
      <c r="A5169" s="5">
        <f>5161</f>
      </c>
      <c r="B5169" s="5" t="s">
        <v>4411</v>
      </c>
      <c r="C5169" s="5" t="s">
        <v>11</v>
      </c>
      <c r="D5169" s="5" t="s">
        <v>12</v>
      </c>
      <c r="E5169" s="5" t="s">
        <v>3962</v>
      </c>
    </row>
    <row r="5170" spans="1:5" x14ac:dyDescent="0.25">
      <c r="A5170" s="5">
        <f>5162</f>
      </c>
      <c r="B5170" s="5" t="s">
        <v>4412</v>
      </c>
      <c r="C5170" s="5" t="s">
        <v>11</v>
      </c>
      <c r="D5170" s="5" t="s">
        <v>12</v>
      </c>
      <c r="E5170" s="5" t="s">
        <v>3962</v>
      </c>
    </row>
    <row r="5171" spans="1:5" x14ac:dyDescent="0.25">
      <c r="A5171" s="5">
        <f>5163</f>
      </c>
      <c r="B5171" s="5" t="s">
        <v>4413</v>
      </c>
      <c r="C5171" s="5" t="s">
        <v>11</v>
      </c>
      <c r="D5171" s="5" t="s">
        <v>12</v>
      </c>
      <c r="E5171" s="5" t="s">
        <v>3962</v>
      </c>
    </row>
    <row r="5172" spans="1:5" x14ac:dyDescent="0.25">
      <c r="A5172" s="5">
        <f>5164</f>
      </c>
      <c r="B5172" s="5" t="s">
        <v>4414</v>
      </c>
      <c r="C5172" s="5" t="s">
        <v>11</v>
      </c>
      <c r="D5172" s="5" t="s">
        <v>12</v>
      </c>
      <c r="E5172" s="5" t="s">
        <v>3962</v>
      </c>
    </row>
    <row r="5173" spans="1:5" x14ac:dyDescent="0.25">
      <c r="A5173" s="5">
        <f>5165</f>
      </c>
      <c r="B5173" s="5" t="s">
        <v>4415</v>
      </c>
      <c r="C5173" s="5" t="s">
        <v>11</v>
      </c>
      <c r="D5173" s="5" t="s">
        <v>12</v>
      </c>
      <c r="E5173" s="5" t="s">
        <v>3962</v>
      </c>
    </row>
    <row r="5174" spans="1:5" x14ac:dyDescent="0.25">
      <c r="A5174" s="5">
        <f>5166</f>
      </c>
      <c r="B5174" s="5" t="s">
        <v>4416</v>
      </c>
      <c r="C5174" s="5" t="s">
        <v>11</v>
      </c>
      <c r="D5174" s="5" t="s">
        <v>12</v>
      </c>
      <c r="E5174" s="5" t="s">
        <v>3962</v>
      </c>
    </row>
    <row r="5175" spans="1:5" x14ac:dyDescent="0.25">
      <c r="A5175" s="5">
        <f>5167</f>
      </c>
      <c r="B5175" s="5" t="s">
        <v>4417</v>
      </c>
      <c r="C5175" s="5" t="s">
        <v>11</v>
      </c>
      <c r="D5175" s="5" t="s">
        <v>12</v>
      </c>
      <c r="E5175" s="5" t="s">
        <v>3962</v>
      </c>
    </row>
    <row r="5176" spans="1:5" x14ac:dyDescent="0.25">
      <c r="A5176" s="5">
        <f>5168</f>
      </c>
      <c r="B5176" s="5" t="s">
        <v>4418</v>
      </c>
      <c r="C5176" s="5" t="s">
        <v>11</v>
      </c>
      <c r="D5176" s="5" t="s">
        <v>12</v>
      </c>
      <c r="E5176" s="5" t="s">
        <v>3962</v>
      </c>
    </row>
    <row r="5177" spans="1:5" x14ac:dyDescent="0.25">
      <c r="A5177" s="5">
        <f>5169</f>
      </c>
      <c r="B5177" s="5" t="s">
        <v>4419</v>
      </c>
      <c r="C5177" s="5" t="s">
        <v>11</v>
      </c>
      <c r="D5177" s="5" t="s">
        <v>12</v>
      </c>
      <c r="E5177" s="5" t="s">
        <v>3962</v>
      </c>
    </row>
    <row r="5178" spans="1:5" x14ac:dyDescent="0.25">
      <c r="A5178" s="5">
        <f>5170</f>
      </c>
      <c r="B5178" s="5" t="s">
        <v>4420</v>
      </c>
      <c r="C5178" s="5" t="s">
        <v>11</v>
      </c>
      <c r="D5178" s="5" t="s">
        <v>12</v>
      </c>
      <c r="E5178" s="5" t="s">
        <v>3962</v>
      </c>
    </row>
    <row r="5179" spans="1:5" x14ac:dyDescent="0.25">
      <c r="A5179" s="5">
        <f>5171</f>
      </c>
      <c r="B5179" s="5" t="s">
        <v>4421</v>
      </c>
      <c r="C5179" s="5" t="s">
        <v>11</v>
      </c>
      <c r="D5179" s="5" t="s">
        <v>12</v>
      </c>
      <c r="E5179" s="5" t="s">
        <v>3962</v>
      </c>
    </row>
    <row r="5180" spans="1:5" x14ac:dyDescent="0.25">
      <c r="A5180" s="5">
        <f>5172</f>
      </c>
      <c r="B5180" s="5" t="s">
        <v>4422</v>
      </c>
      <c r="C5180" s="5" t="s">
        <v>11</v>
      </c>
      <c r="D5180" s="5" t="s">
        <v>12</v>
      </c>
      <c r="E5180" s="5" t="s">
        <v>3962</v>
      </c>
    </row>
    <row r="5181" spans="1:5" x14ac:dyDescent="0.25">
      <c r="A5181" s="5">
        <f>5173</f>
      </c>
      <c r="B5181" s="5" t="s">
        <v>4423</v>
      </c>
      <c r="C5181" s="5" t="s">
        <v>11</v>
      </c>
      <c r="D5181" s="5" t="s">
        <v>12</v>
      </c>
      <c r="E5181" s="5" t="s">
        <v>3962</v>
      </c>
    </row>
    <row r="5182" spans="1:5" x14ac:dyDescent="0.25">
      <c r="A5182" s="5">
        <f>5174</f>
      </c>
      <c r="B5182" s="5" t="s">
        <v>4424</v>
      </c>
      <c r="C5182" s="5" t="s">
        <v>11</v>
      </c>
      <c r="D5182" s="5" t="s">
        <v>12</v>
      </c>
      <c r="E5182" s="5" t="s">
        <v>3962</v>
      </c>
    </row>
    <row r="5183" spans="1:5" x14ac:dyDescent="0.25">
      <c r="A5183" s="5">
        <f>5175</f>
      </c>
      <c r="B5183" s="5" t="s">
        <v>4425</v>
      </c>
      <c r="C5183" s="5" t="s">
        <v>11</v>
      </c>
      <c r="D5183" s="5" t="s">
        <v>12</v>
      </c>
      <c r="E5183" s="5" t="s">
        <v>3962</v>
      </c>
    </row>
    <row r="5184" spans="1:5" x14ac:dyDescent="0.25">
      <c r="A5184" s="5">
        <f>5176</f>
      </c>
      <c r="B5184" s="5" t="s">
        <v>4426</v>
      </c>
      <c r="C5184" s="5" t="s">
        <v>11</v>
      </c>
      <c r="D5184" s="5" t="s">
        <v>12</v>
      </c>
      <c r="E5184" s="5" t="s">
        <v>3962</v>
      </c>
    </row>
    <row r="5185" spans="1:5" x14ac:dyDescent="0.25">
      <c r="A5185" s="5">
        <f>5177</f>
      </c>
      <c r="B5185" s="5" t="s">
        <v>4427</v>
      </c>
      <c r="C5185" s="5" t="s">
        <v>11</v>
      </c>
      <c r="D5185" s="5" t="s">
        <v>12</v>
      </c>
      <c r="E5185" s="5" t="s">
        <v>3962</v>
      </c>
    </row>
    <row r="5186" spans="1:5" x14ac:dyDescent="0.25">
      <c r="A5186" s="5">
        <f>5178</f>
      </c>
      <c r="B5186" s="5" t="s">
        <v>4428</v>
      </c>
      <c r="C5186" s="5" t="s">
        <v>11</v>
      </c>
      <c r="D5186" s="5" t="s">
        <v>12</v>
      </c>
      <c r="E5186" s="5" t="s">
        <v>3962</v>
      </c>
    </row>
    <row r="5187" spans="1:5" x14ac:dyDescent="0.25">
      <c r="A5187" s="5">
        <f>5179</f>
      </c>
      <c r="B5187" s="5" t="s">
        <v>4429</v>
      </c>
      <c r="C5187" s="5" t="s">
        <v>11</v>
      </c>
      <c r="D5187" s="5" t="s">
        <v>12</v>
      </c>
      <c r="E5187" s="5" t="s">
        <v>3962</v>
      </c>
    </row>
    <row r="5188" spans="1:5" x14ac:dyDescent="0.25">
      <c r="A5188" s="5">
        <f>5180</f>
      </c>
      <c r="B5188" s="5" t="s">
        <v>4430</v>
      </c>
      <c r="C5188" s="5" t="s">
        <v>11</v>
      </c>
      <c r="D5188" s="5" t="s">
        <v>12</v>
      </c>
      <c r="E5188" s="5" t="s">
        <v>3962</v>
      </c>
    </row>
    <row r="5189" spans="1:5" x14ac:dyDescent="0.25">
      <c r="A5189" s="5">
        <f>5181</f>
      </c>
      <c r="B5189" s="5" t="s">
        <v>4431</v>
      </c>
      <c r="C5189" s="5" t="s">
        <v>11</v>
      </c>
      <c r="D5189" s="5" t="s">
        <v>12</v>
      </c>
      <c r="E5189" s="5" t="s">
        <v>3962</v>
      </c>
    </row>
    <row r="5190" spans="1:5" x14ac:dyDescent="0.25">
      <c r="A5190" s="5">
        <f>5182</f>
      </c>
      <c r="B5190" s="5" t="s">
        <v>4432</v>
      </c>
      <c r="C5190" s="5" t="s">
        <v>11</v>
      </c>
      <c r="D5190" s="5" t="s">
        <v>12</v>
      </c>
      <c r="E5190" s="5" t="s">
        <v>3962</v>
      </c>
    </row>
    <row r="5191" spans="1:5" x14ac:dyDescent="0.25">
      <c r="A5191" s="5">
        <f>5183</f>
      </c>
      <c r="B5191" s="5" t="s">
        <v>4433</v>
      </c>
      <c r="C5191" s="5" t="s">
        <v>11</v>
      </c>
      <c r="D5191" s="5" t="s">
        <v>12</v>
      </c>
      <c r="E5191" s="5" t="s">
        <v>3962</v>
      </c>
    </row>
    <row r="5192" spans="1:5" x14ac:dyDescent="0.25">
      <c r="A5192" s="5">
        <f>5184</f>
      </c>
      <c r="B5192" s="5" t="s">
        <v>4434</v>
      </c>
      <c r="C5192" s="5" t="s">
        <v>11</v>
      </c>
      <c r="D5192" s="5" t="s">
        <v>12</v>
      </c>
      <c r="E5192" s="5" t="s">
        <v>3962</v>
      </c>
    </row>
    <row r="5193" spans="1:5" x14ac:dyDescent="0.25">
      <c r="A5193" s="5">
        <f>5185</f>
      </c>
      <c r="B5193" s="5" t="s">
        <v>4435</v>
      </c>
      <c r="C5193" s="5" t="s">
        <v>11</v>
      </c>
      <c r="D5193" s="5" t="s">
        <v>12</v>
      </c>
      <c r="E5193" s="5" t="s">
        <v>3962</v>
      </c>
    </row>
    <row r="5194" spans="1:5" x14ac:dyDescent="0.25">
      <c r="A5194" s="5">
        <f>5186</f>
      </c>
      <c r="B5194" s="5" t="s">
        <v>4436</v>
      </c>
      <c r="C5194" s="5" t="s">
        <v>11</v>
      </c>
      <c r="D5194" s="5" t="s">
        <v>12</v>
      </c>
      <c r="E5194" s="5" t="s">
        <v>3962</v>
      </c>
    </row>
    <row r="5195" spans="1:5" x14ac:dyDescent="0.25">
      <c r="A5195" s="5">
        <f>5187</f>
      </c>
      <c r="B5195" s="5" t="s">
        <v>4437</v>
      </c>
      <c r="C5195" s="5" t="s">
        <v>11</v>
      </c>
      <c r="D5195" s="5" t="s">
        <v>12</v>
      </c>
      <c r="E5195" s="5" t="s">
        <v>3962</v>
      </c>
    </row>
    <row r="5196" spans="1:5" x14ac:dyDescent="0.25">
      <c r="A5196" s="5">
        <f>5188</f>
      </c>
      <c r="B5196" s="5" t="s">
        <v>4438</v>
      </c>
      <c r="C5196" s="5" t="s">
        <v>11</v>
      </c>
      <c r="D5196" s="5" t="s">
        <v>12</v>
      </c>
      <c r="E5196" s="5" t="s">
        <v>3962</v>
      </c>
    </row>
    <row r="5197" spans="1:5" x14ac:dyDescent="0.25">
      <c r="A5197" s="5">
        <f>5189</f>
      </c>
      <c r="B5197" s="5" t="s">
        <v>4439</v>
      </c>
      <c r="C5197" s="5" t="s">
        <v>11</v>
      </c>
      <c r="D5197" s="5" t="s">
        <v>12</v>
      </c>
      <c r="E5197" s="5" t="s">
        <v>3962</v>
      </c>
    </row>
    <row r="5198" spans="1:5" x14ac:dyDescent="0.25">
      <c r="A5198" s="5">
        <f>5190</f>
      </c>
      <c r="B5198" s="5" t="s">
        <v>4440</v>
      </c>
      <c r="C5198" s="5" t="s">
        <v>11</v>
      </c>
      <c r="D5198" s="5" t="s">
        <v>12</v>
      </c>
      <c r="E5198" s="5" t="s">
        <v>3962</v>
      </c>
    </row>
    <row r="5199" spans="1:5" x14ac:dyDescent="0.25">
      <c r="A5199" s="5">
        <f>5191</f>
      </c>
      <c r="B5199" s="5" t="s">
        <v>4441</v>
      </c>
      <c r="C5199" s="5" t="s">
        <v>11</v>
      </c>
      <c r="D5199" s="5" t="s">
        <v>12</v>
      </c>
      <c r="E5199" s="5" t="s">
        <v>3962</v>
      </c>
    </row>
    <row r="5200" spans="1:5" x14ac:dyDescent="0.25">
      <c r="A5200" s="5">
        <f>5192</f>
      </c>
      <c r="B5200" s="5" t="s">
        <v>4442</v>
      </c>
      <c r="C5200" s="5" t="s">
        <v>11</v>
      </c>
      <c r="D5200" s="5" t="s">
        <v>12</v>
      </c>
      <c r="E5200" s="5" t="s">
        <v>3962</v>
      </c>
    </row>
    <row r="5201" spans="1:5" x14ac:dyDescent="0.25">
      <c r="A5201" s="5">
        <f>5193</f>
      </c>
      <c r="B5201" s="5" t="s">
        <v>4443</v>
      </c>
      <c r="C5201" s="5" t="s">
        <v>11</v>
      </c>
      <c r="D5201" s="5" t="s">
        <v>12</v>
      </c>
      <c r="E5201" s="5" t="s">
        <v>3962</v>
      </c>
    </row>
    <row r="5202" spans="1:5" x14ac:dyDescent="0.25">
      <c r="A5202" s="5">
        <f>5194</f>
      </c>
      <c r="B5202" s="5" t="s">
        <v>4444</v>
      </c>
      <c r="C5202" s="5" t="s">
        <v>11</v>
      </c>
      <c r="D5202" s="5" t="s">
        <v>12</v>
      </c>
      <c r="E5202" s="5" t="s">
        <v>3962</v>
      </c>
    </row>
    <row r="5203" spans="1:5" x14ac:dyDescent="0.25">
      <c r="A5203" s="5">
        <f>5195</f>
      </c>
      <c r="B5203" s="5" t="s">
        <v>4445</v>
      </c>
      <c r="C5203" s="5" t="s">
        <v>11</v>
      </c>
      <c r="D5203" s="5" t="s">
        <v>12</v>
      </c>
      <c r="E5203" s="5" t="s">
        <v>3962</v>
      </c>
    </row>
    <row r="5204" spans="1:5" x14ac:dyDescent="0.25">
      <c r="A5204" s="5">
        <f>5196</f>
      </c>
      <c r="B5204" s="5" t="s">
        <v>4446</v>
      </c>
      <c r="C5204" s="5" t="s">
        <v>11</v>
      </c>
      <c r="D5204" s="5" t="s">
        <v>12</v>
      </c>
      <c r="E5204" s="5" t="s">
        <v>3962</v>
      </c>
    </row>
    <row r="5205" spans="1:5" x14ac:dyDescent="0.25">
      <c r="A5205" s="5">
        <f>5197</f>
      </c>
      <c r="B5205" s="5" t="s">
        <v>4447</v>
      </c>
      <c r="C5205" s="5" t="s">
        <v>11</v>
      </c>
      <c r="D5205" s="5" t="s">
        <v>12</v>
      </c>
      <c r="E5205" s="5" t="s">
        <v>3962</v>
      </c>
    </row>
    <row r="5206" spans="1:5" x14ac:dyDescent="0.25">
      <c r="A5206" s="5">
        <f>5198</f>
      </c>
      <c r="B5206" s="5" t="s">
        <v>4448</v>
      </c>
      <c r="C5206" s="5" t="s">
        <v>11</v>
      </c>
      <c r="D5206" s="5" t="s">
        <v>12</v>
      </c>
      <c r="E5206" s="5" t="s">
        <v>3962</v>
      </c>
    </row>
    <row r="5207" spans="1:5" x14ac:dyDescent="0.25">
      <c r="A5207" s="5">
        <f>5199</f>
      </c>
      <c r="B5207" s="5" t="s">
        <v>4449</v>
      </c>
      <c r="C5207" s="5" t="s">
        <v>11</v>
      </c>
      <c r="D5207" s="5" t="s">
        <v>12</v>
      </c>
      <c r="E5207" s="5" t="s">
        <v>3962</v>
      </c>
    </row>
    <row r="5208" spans="1:5" x14ac:dyDescent="0.25">
      <c r="A5208" s="5">
        <f>5200</f>
      </c>
      <c r="B5208" s="5" t="s">
        <v>4450</v>
      </c>
      <c r="C5208" s="5" t="s">
        <v>11</v>
      </c>
      <c r="D5208" s="5" t="s">
        <v>12</v>
      </c>
      <c r="E5208" s="5" t="s">
        <v>3962</v>
      </c>
    </row>
    <row r="5209" spans="1:5" x14ac:dyDescent="0.25">
      <c r="A5209" s="5">
        <f>5201</f>
      </c>
      <c r="B5209" s="5" t="s">
        <v>4451</v>
      </c>
      <c r="C5209" s="5" t="s">
        <v>11</v>
      </c>
      <c r="D5209" s="5" t="s">
        <v>12</v>
      </c>
      <c r="E5209" s="5" t="s">
        <v>3962</v>
      </c>
    </row>
    <row r="5210" spans="1:5" x14ac:dyDescent="0.25">
      <c r="A5210" s="5">
        <f>5202</f>
      </c>
      <c r="B5210" s="5" t="s">
        <v>4452</v>
      </c>
      <c r="C5210" s="5" t="s">
        <v>11</v>
      </c>
      <c r="D5210" s="5" t="s">
        <v>12</v>
      </c>
      <c r="E5210" s="5" t="s">
        <v>3962</v>
      </c>
    </row>
    <row r="5211" spans="1:5" x14ac:dyDescent="0.25">
      <c r="A5211" s="5">
        <f>5203</f>
      </c>
      <c r="B5211" s="5" t="s">
        <v>4453</v>
      </c>
      <c r="C5211" s="5" t="s">
        <v>11</v>
      </c>
      <c r="D5211" s="5" t="s">
        <v>12</v>
      </c>
      <c r="E5211" s="5" t="s">
        <v>3962</v>
      </c>
    </row>
    <row r="5212" spans="1:5" x14ac:dyDescent="0.25">
      <c r="A5212" s="5">
        <f>5204</f>
      </c>
      <c r="B5212" s="5" t="s">
        <v>4454</v>
      </c>
      <c r="C5212" s="5" t="s">
        <v>11</v>
      </c>
      <c r="D5212" s="5" t="s">
        <v>12</v>
      </c>
      <c r="E5212" s="5" t="s">
        <v>3962</v>
      </c>
    </row>
    <row r="5213" spans="1:5" x14ac:dyDescent="0.25">
      <c r="A5213" s="5">
        <f>5205</f>
      </c>
      <c r="B5213" s="5" t="s">
        <v>4455</v>
      </c>
      <c r="C5213" s="5" t="s">
        <v>11</v>
      </c>
      <c r="D5213" s="5" t="s">
        <v>12</v>
      </c>
      <c r="E5213" s="5" t="s">
        <v>3962</v>
      </c>
    </row>
    <row r="5214" spans="1:5" x14ac:dyDescent="0.25">
      <c r="A5214" s="5">
        <f>5206</f>
      </c>
      <c r="B5214" s="5" t="s">
        <v>4456</v>
      </c>
      <c r="C5214" s="5" t="s">
        <v>11</v>
      </c>
      <c r="D5214" s="5" t="s">
        <v>12</v>
      </c>
      <c r="E5214" s="5" t="s">
        <v>3962</v>
      </c>
    </row>
    <row r="5215" spans="1:5" x14ac:dyDescent="0.25">
      <c r="A5215" s="5">
        <f>5207</f>
      </c>
      <c r="B5215" s="5" t="s">
        <v>4457</v>
      </c>
      <c r="C5215" s="5" t="s">
        <v>11</v>
      </c>
      <c r="D5215" s="5" t="s">
        <v>12</v>
      </c>
      <c r="E5215" s="5" t="s">
        <v>3962</v>
      </c>
    </row>
    <row r="5216" spans="1:5" x14ac:dyDescent="0.25">
      <c r="A5216" s="5">
        <f>5208</f>
      </c>
      <c r="B5216" s="5" t="s">
        <v>4458</v>
      </c>
      <c r="C5216" s="5" t="s">
        <v>11</v>
      </c>
      <c r="D5216" s="5" t="s">
        <v>12</v>
      </c>
      <c r="E5216" s="5" t="s">
        <v>3962</v>
      </c>
    </row>
    <row r="5217" spans="1:5" x14ac:dyDescent="0.25">
      <c r="A5217" s="5">
        <f>5209</f>
      </c>
      <c r="B5217" s="5" t="s">
        <v>4459</v>
      </c>
      <c r="C5217" s="5" t="s">
        <v>11</v>
      </c>
      <c r="D5217" s="5" t="s">
        <v>12</v>
      </c>
      <c r="E5217" s="5" t="s">
        <v>3962</v>
      </c>
    </row>
    <row r="5218" spans="1:5" x14ac:dyDescent="0.25">
      <c r="A5218" s="5">
        <f>5210</f>
      </c>
      <c r="B5218" s="5" t="s">
        <v>4460</v>
      </c>
      <c r="C5218" s="5" t="s">
        <v>11</v>
      </c>
      <c r="D5218" s="5" t="s">
        <v>12</v>
      </c>
      <c r="E5218" s="5" t="s">
        <v>3962</v>
      </c>
    </row>
    <row r="5219" spans="1:5" x14ac:dyDescent="0.25">
      <c r="A5219" s="5">
        <f>5211</f>
      </c>
      <c r="B5219" s="5" t="s">
        <v>4461</v>
      </c>
      <c r="C5219" s="5" t="s">
        <v>11</v>
      </c>
      <c r="D5219" s="5" t="s">
        <v>12</v>
      </c>
      <c r="E5219" s="5" t="s">
        <v>3962</v>
      </c>
    </row>
    <row r="5220" spans="1:5" x14ac:dyDescent="0.25">
      <c r="A5220" s="5">
        <f>5212</f>
      </c>
      <c r="B5220" s="5" t="s">
        <v>4462</v>
      </c>
      <c r="C5220" s="5" t="s">
        <v>11</v>
      </c>
      <c r="D5220" s="5" t="s">
        <v>12</v>
      </c>
      <c r="E5220" s="5" t="s">
        <v>3962</v>
      </c>
    </row>
    <row r="5221" spans="1:5" x14ac:dyDescent="0.25">
      <c r="A5221" s="5">
        <f>5213</f>
      </c>
      <c r="B5221" s="5" t="s">
        <v>4463</v>
      </c>
      <c r="C5221" s="5" t="s">
        <v>11</v>
      </c>
      <c r="D5221" s="5" t="s">
        <v>12</v>
      </c>
      <c r="E5221" s="5" t="s">
        <v>3962</v>
      </c>
    </row>
    <row r="5222" spans="1:5" x14ac:dyDescent="0.25">
      <c r="A5222" s="5">
        <f>5214</f>
      </c>
      <c r="B5222" s="5" t="s">
        <v>4464</v>
      </c>
      <c r="C5222" s="5" t="s">
        <v>11</v>
      </c>
      <c r="D5222" s="5" t="s">
        <v>12</v>
      </c>
      <c r="E5222" s="5" t="s">
        <v>3962</v>
      </c>
    </row>
    <row r="5223" spans="1:5" x14ac:dyDescent="0.25">
      <c r="A5223" s="5">
        <f>5215</f>
      </c>
      <c r="B5223" s="5" t="s">
        <v>4465</v>
      </c>
      <c r="C5223" s="5" t="s">
        <v>11</v>
      </c>
      <c r="D5223" s="5" t="s">
        <v>12</v>
      </c>
      <c r="E5223" s="5" t="s">
        <v>3962</v>
      </c>
    </row>
    <row r="5224" spans="1:5" x14ac:dyDescent="0.25">
      <c r="A5224" s="5">
        <f>5216</f>
      </c>
      <c r="B5224" s="5" t="s">
        <v>4466</v>
      </c>
      <c r="C5224" s="5" t="s">
        <v>11</v>
      </c>
      <c r="D5224" s="5" t="s">
        <v>12</v>
      </c>
      <c r="E5224" s="5" t="s">
        <v>3962</v>
      </c>
    </row>
    <row r="5225" spans="1:5" x14ac:dyDescent="0.25">
      <c r="A5225" s="5">
        <f>5217</f>
      </c>
      <c r="B5225" s="5" t="s">
        <v>4467</v>
      </c>
      <c r="C5225" s="5" t="s">
        <v>11</v>
      </c>
      <c r="D5225" s="5" t="s">
        <v>12</v>
      </c>
      <c r="E5225" s="5" t="s">
        <v>3962</v>
      </c>
    </row>
    <row r="5226" spans="1:5" x14ac:dyDescent="0.25">
      <c r="A5226" s="5">
        <f>5218</f>
      </c>
      <c r="B5226" s="5" t="s">
        <v>4468</v>
      </c>
      <c r="C5226" s="5" t="s">
        <v>11</v>
      </c>
      <c r="D5226" s="5" t="s">
        <v>12</v>
      </c>
      <c r="E5226" s="5" t="s">
        <v>3962</v>
      </c>
    </row>
    <row r="5227" spans="1:5" x14ac:dyDescent="0.25">
      <c r="A5227" s="5">
        <f>5219</f>
      </c>
      <c r="B5227" s="5" t="s">
        <v>4469</v>
      </c>
      <c r="C5227" s="5" t="s">
        <v>11</v>
      </c>
      <c r="D5227" s="5" t="s">
        <v>12</v>
      </c>
      <c r="E5227" s="5" t="s">
        <v>3962</v>
      </c>
    </row>
    <row r="5228" spans="1:5" x14ac:dyDescent="0.25">
      <c r="A5228" s="5">
        <f>5220</f>
      </c>
      <c r="B5228" s="5" t="s">
        <v>4470</v>
      </c>
      <c r="C5228" s="5" t="s">
        <v>11</v>
      </c>
      <c r="D5228" s="5" t="s">
        <v>12</v>
      </c>
      <c r="E5228" s="5" t="s">
        <v>3962</v>
      </c>
    </row>
    <row r="5229" spans="1:5" x14ac:dyDescent="0.25">
      <c r="A5229" s="5">
        <f>5221</f>
      </c>
      <c r="B5229" s="5" t="s">
        <v>4471</v>
      </c>
      <c r="C5229" s="5" t="s">
        <v>11</v>
      </c>
      <c r="D5229" s="5" t="s">
        <v>12</v>
      </c>
      <c r="E5229" s="5" t="s">
        <v>3962</v>
      </c>
    </row>
    <row r="5230" spans="1:5" x14ac:dyDescent="0.25">
      <c r="A5230" s="5">
        <f>5222</f>
      </c>
      <c r="B5230" s="5" t="s">
        <v>4472</v>
      </c>
      <c r="C5230" s="5" t="s">
        <v>11</v>
      </c>
      <c r="D5230" s="5" t="s">
        <v>12</v>
      </c>
      <c r="E5230" s="5" t="s">
        <v>3962</v>
      </c>
    </row>
    <row r="5231" spans="1:5" x14ac:dyDescent="0.25">
      <c r="A5231" s="5">
        <f>5223</f>
      </c>
      <c r="B5231" s="5" t="s">
        <v>4473</v>
      </c>
      <c r="C5231" s="5" t="s">
        <v>11</v>
      </c>
      <c r="D5231" s="5" t="s">
        <v>12</v>
      </c>
      <c r="E5231" s="5" t="s">
        <v>3962</v>
      </c>
    </row>
    <row r="5232" spans="1:5" x14ac:dyDescent="0.25">
      <c r="A5232" s="5">
        <f>5224</f>
      </c>
      <c r="B5232" s="5" t="s">
        <v>4474</v>
      </c>
      <c r="C5232" s="5" t="s">
        <v>11</v>
      </c>
      <c r="D5232" s="5" t="s">
        <v>12</v>
      </c>
      <c r="E5232" s="5" t="s">
        <v>3962</v>
      </c>
    </row>
    <row r="5233" spans="1:5" x14ac:dyDescent="0.25">
      <c r="A5233" s="5">
        <f>5225</f>
      </c>
      <c r="B5233" s="5" t="s">
        <v>4475</v>
      </c>
      <c r="C5233" s="5" t="s">
        <v>11</v>
      </c>
      <c r="D5233" s="5" t="s">
        <v>12</v>
      </c>
      <c r="E5233" s="5" t="s">
        <v>3962</v>
      </c>
    </row>
    <row r="5234" spans="1:5" x14ac:dyDescent="0.25">
      <c r="A5234" s="5">
        <f>5226</f>
      </c>
      <c r="B5234" s="5" t="s">
        <v>4476</v>
      </c>
      <c r="C5234" s="5" t="s">
        <v>11</v>
      </c>
      <c r="D5234" s="5" t="s">
        <v>12</v>
      </c>
      <c r="E5234" s="5" t="s">
        <v>3962</v>
      </c>
    </row>
    <row r="5235" spans="1:5" x14ac:dyDescent="0.25">
      <c r="A5235" s="5">
        <f>5227</f>
      </c>
      <c r="B5235" s="5" t="s">
        <v>4477</v>
      </c>
      <c r="C5235" s="5" t="s">
        <v>11</v>
      </c>
      <c r="D5235" s="5" t="s">
        <v>12</v>
      </c>
      <c r="E5235" s="5" t="s">
        <v>3962</v>
      </c>
    </row>
    <row r="5236" spans="1:5" x14ac:dyDescent="0.25">
      <c r="A5236" s="5">
        <f>5228</f>
      </c>
      <c r="B5236" s="5" t="s">
        <v>4478</v>
      </c>
      <c r="C5236" s="5" t="s">
        <v>11</v>
      </c>
      <c r="D5236" s="5" t="s">
        <v>12</v>
      </c>
      <c r="E5236" s="5" t="s">
        <v>3962</v>
      </c>
    </row>
    <row r="5237" spans="1:5" x14ac:dyDescent="0.25">
      <c r="A5237" s="5">
        <f>5229</f>
      </c>
      <c r="B5237" s="5" t="s">
        <v>4479</v>
      </c>
      <c r="C5237" s="5" t="s">
        <v>11</v>
      </c>
      <c r="D5237" s="5" t="s">
        <v>12</v>
      </c>
      <c r="E5237" s="5" t="s">
        <v>3962</v>
      </c>
    </row>
    <row r="5238" spans="1:5" x14ac:dyDescent="0.25">
      <c r="A5238" s="5">
        <f>5230</f>
      </c>
      <c r="B5238" s="5" t="s">
        <v>4480</v>
      </c>
      <c r="C5238" s="5" t="s">
        <v>11</v>
      </c>
      <c r="D5238" s="5" t="s">
        <v>12</v>
      </c>
      <c r="E5238" s="5" t="s">
        <v>3962</v>
      </c>
    </row>
    <row r="5239" spans="1:5" x14ac:dyDescent="0.25">
      <c r="A5239" s="5">
        <f>5231</f>
      </c>
      <c r="B5239" s="5" t="s">
        <v>4481</v>
      </c>
      <c r="C5239" s="5" t="s">
        <v>11</v>
      </c>
      <c r="D5239" s="5" t="s">
        <v>12</v>
      </c>
      <c r="E5239" s="5" t="s">
        <v>3962</v>
      </c>
    </row>
    <row r="5240" spans="1:5" x14ac:dyDescent="0.25">
      <c r="A5240" s="5">
        <f>5232</f>
      </c>
      <c r="B5240" s="5" t="s">
        <v>4482</v>
      </c>
      <c r="C5240" s="5" t="s">
        <v>11</v>
      </c>
      <c r="D5240" s="5" t="s">
        <v>12</v>
      </c>
      <c r="E5240" s="5" t="s">
        <v>3962</v>
      </c>
    </row>
    <row r="5241" spans="1:5" x14ac:dyDescent="0.25">
      <c r="A5241" s="5">
        <f>5233</f>
      </c>
      <c r="B5241" s="5" t="s">
        <v>4483</v>
      </c>
      <c r="C5241" s="5" t="s">
        <v>11</v>
      </c>
      <c r="D5241" s="5" t="s">
        <v>12</v>
      </c>
      <c r="E5241" s="5" t="s">
        <v>3962</v>
      </c>
    </row>
    <row r="5242" spans="1:5" x14ac:dyDescent="0.25">
      <c r="A5242" s="5">
        <f>5234</f>
      </c>
      <c r="B5242" s="5" t="s">
        <v>4484</v>
      </c>
      <c r="C5242" s="5" t="s">
        <v>11</v>
      </c>
      <c r="D5242" s="5" t="s">
        <v>12</v>
      </c>
      <c r="E5242" s="5" t="s">
        <v>3962</v>
      </c>
    </row>
    <row r="5243" spans="1:5" x14ac:dyDescent="0.25">
      <c r="A5243" s="5">
        <f>5235</f>
      </c>
      <c r="B5243" s="5" t="s">
        <v>4485</v>
      </c>
      <c r="C5243" s="5" t="s">
        <v>11</v>
      </c>
      <c r="D5243" s="5" t="s">
        <v>12</v>
      </c>
      <c r="E5243" s="5" t="s">
        <v>3962</v>
      </c>
    </row>
    <row r="5244" spans="1:5" x14ac:dyDescent="0.25">
      <c r="A5244" s="5">
        <f>5236</f>
      </c>
      <c r="B5244" s="5" t="s">
        <v>4486</v>
      </c>
      <c r="C5244" s="5" t="s">
        <v>11</v>
      </c>
      <c r="D5244" s="5" t="s">
        <v>12</v>
      </c>
      <c r="E5244" s="5" t="s">
        <v>3962</v>
      </c>
    </row>
    <row r="5245" spans="1:5" x14ac:dyDescent="0.25">
      <c r="A5245" s="5">
        <f>5237</f>
      </c>
      <c r="B5245" s="5" t="s">
        <v>4487</v>
      </c>
      <c r="C5245" s="5" t="s">
        <v>11</v>
      </c>
      <c r="D5245" s="5" t="s">
        <v>12</v>
      </c>
      <c r="E5245" s="5" t="s">
        <v>3962</v>
      </c>
    </row>
    <row r="5246" spans="1:5" x14ac:dyDescent="0.25">
      <c r="A5246" s="5">
        <f>5238</f>
      </c>
      <c r="B5246" s="5" t="s">
        <v>4488</v>
      </c>
      <c r="C5246" s="5" t="s">
        <v>11</v>
      </c>
      <c r="D5246" s="5" t="s">
        <v>12</v>
      </c>
      <c r="E5246" s="5" t="s">
        <v>3962</v>
      </c>
    </row>
    <row r="5247" spans="1:5" x14ac:dyDescent="0.25">
      <c r="A5247" s="5">
        <f>5239</f>
      </c>
      <c r="B5247" s="5" t="s">
        <v>4489</v>
      </c>
      <c r="C5247" s="5" t="s">
        <v>11</v>
      </c>
      <c r="D5247" s="5" t="s">
        <v>12</v>
      </c>
      <c r="E5247" s="5" t="s">
        <v>3962</v>
      </c>
    </row>
    <row r="5248" spans="1:5" x14ac:dyDescent="0.25">
      <c r="A5248" s="5">
        <f>5240</f>
      </c>
      <c r="B5248" s="5" t="s">
        <v>4490</v>
      </c>
      <c r="C5248" s="5" t="s">
        <v>11</v>
      </c>
      <c r="D5248" s="5" t="s">
        <v>12</v>
      </c>
      <c r="E5248" s="5" t="s">
        <v>3962</v>
      </c>
    </row>
    <row r="5249" spans="1:5" x14ac:dyDescent="0.25">
      <c r="A5249" s="5">
        <f>5241</f>
      </c>
      <c r="B5249" s="5" t="s">
        <v>4491</v>
      </c>
      <c r="C5249" s="5" t="s">
        <v>11</v>
      </c>
      <c r="D5249" s="5" t="s">
        <v>12</v>
      </c>
      <c r="E5249" s="5" t="s">
        <v>3962</v>
      </c>
    </row>
    <row r="5250" spans="1:5" x14ac:dyDescent="0.25">
      <c r="A5250" s="5">
        <f>5242</f>
      </c>
      <c r="B5250" s="5" t="s">
        <v>4492</v>
      </c>
      <c r="C5250" s="5" t="s">
        <v>11</v>
      </c>
      <c r="D5250" s="5" t="s">
        <v>12</v>
      </c>
      <c r="E5250" s="5" t="s">
        <v>3962</v>
      </c>
    </row>
    <row r="5251" spans="1:5" x14ac:dyDescent="0.25">
      <c r="A5251" s="5">
        <f>5243</f>
      </c>
      <c r="B5251" s="5" t="s">
        <v>4493</v>
      </c>
      <c r="C5251" s="5" t="s">
        <v>11</v>
      </c>
      <c r="D5251" s="5" t="s">
        <v>12</v>
      </c>
      <c r="E5251" s="5" t="s">
        <v>3962</v>
      </c>
    </row>
    <row r="5252" spans="1:5" x14ac:dyDescent="0.25">
      <c r="A5252" s="5">
        <f>5244</f>
      </c>
      <c r="B5252" s="5" t="s">
        <v>4494</v>
      </c>
      <c r="C5252" s="5" t="s">
        <v>11</v>
      </c>
      <c r="D5252" s="5" t="s">
        <v>12</v>
      </c>
      <c r="E5252" s="5" t="s">
        <v>3962</v>
      </c>
    </row>
    <row r="5253" spans="1:5" x14ac:dyDescent="0.25">
      <c r="A5253" s="5">
        <f>5245</f>
      </c>
      <c r="B5253" s="5" t="s">
        <v>4495</v>
      </c>
      <c r="C5253" s="5" t="s">
        <v>11</v>
      </c>
      <c r="D5253" s="5" t="s">
        <v>12</v>
      </c>
      <c r="E5253" s="5" t="s">
        <v>3962</v>
      </c>
    </row>
    <row r="5254" spans="1:5" x14ac:dyDescent="0.25">
      <c r="A5254" s="5">
        <f>5246</f>
      </c>
      <c r="B5254" s="5" t="s">
        <v>4496</v>
      </c>
      <c r="C5254" s="5" t="s">
        <v>11</v>
      </c>
      <c r="D5254" s="5" t="s">
        <v>12</v>
      </c>
      <c r="E5254" s="5" t="s">
        <v>3962</v>
      </c>
    </row>
    <row r="5255" spans="1:5" x14ac:dyDescent="0.25">
      <c r="A5255" s="5">
        <f>5247</f>
      </c>
      <c r="B5255" s="5" t="s">
        <v>4497</v>
      </c>
      <c r="C5255" s="5" t="s">
        <v>11</v>
      </c>
      <c r="D5255" s="5" t="s">
        <v>12</v>
      </c>
      <c r="E5255" s="5" t="s">
        <v>3962</v>
      </c>
    </row>
    <row r="5256" spans="1:5" x14ac:dyDescent="0.25">
      <c r="A5256" s="5">
        <f>5248</f>
      </c>
      <c r="B5256" s="5" t="s">
        <v>4498</v>
      </c>
      <c r="C5256" s="5" t="s">
        <v>11</v>
      </c>
      <c r="D5256" s="5" t="s">
        <v>12</v>
      </c>
      <c r="E5256" s="5" t="s">
        <v>3962</v>
      </c>
    </row>
    <row r="5257" spans="1:5" x14ac:dyDescent="0.25">
      <c r="A5257" s="5">
        <f>5249</f>
      </c>
      <c r="B5257" s="5" t="s">
        <v>4499</v>
      </c>
      <c r="C5257" s="5" t="s">
        <v>11</v>
      </c>
      <c r="D5257" s="5" t="s">
        <v>12</v>
      </c>
      <c r="E5257" s="5" t="s">
        <v>3962</v>
      </c>
    </row>
    <row r="5258" spans="1:5" x14ac:dyDescent="0.25">
      <c r="A5258" s="5">
        <f>5250</f>
      </c>
      <c r="B5258" s="5" t="s">
        <v>4500</v>
      </c>
      <c r="C5258" s="5" t="s">
        <v>11</v>
      </c>
      <c r="D5258" s="5" t="s">
        <v>12</v>
      </c>
      <c r="E5258" s="5" t="s">
        <v>3962</v>
      </c>
    </row>
    <row r="5259" spans="1:5" x14ac:dyDescent="0.25">
      <c r="A5259" s="5">
        <f>5251</f>
      </c>
      <c r="B5259" s="5" t="s">
        <v>4501</v>
      </c>
      <c r="C5259" s="5" t="s">
        <v>11</v>
      </c>
      <c r="D5259" s="5" t="s">
        <v>12</v>
      </c>
      <c r="E5259" s="5" t="s">
        <v>3962</v>
      </c>
    </row>
    <row r="5260" spans="1:5" x14ac:dyDescent="0.25">
      <c r="A5260" s="5">
        <f>5252</f>
      </c>
      <c r="B5260" s="5" t="s">
        <v>4502</v>
      </c>
      <c r="C5260" s="5" t="s">
        <v>11</v>
      </c>
      <c r="D5260" s="5" t="s">
        <v>12</v>
      </c>
      <c r="E5260" s="5" t="s">
        <v>3962</v>
      </c>
    </row>
    <row r="5261" spans="1:5" x14ac:dyDescent="0.25">
      <c r="A5261" s="5">
        <f>5253</f>
      </c>
      <c r="B5261" s="5" t="s">
        <v>4503</v>
      </c>
      <c r="C5261" s="5" t="s">
        <v>11</v>
      </c>
      <c r="D5261" s="5" t="s">
        <v>12</v>
      </c>
      <c r="E5261" s="5" t="s">
        <v>3962</v>
      </c>
    </row>
    <row r="5262" spans="1:5" x14ac:dyDescent="0.25">
      <c r="A5262" s="5">
        <f>5254</f>
      </c>
      <c r="B5262" s="5" t="s">
        <v>4504</v>
      </c>
      <c r="C5262" s="5" t="s">
        <v>11</v>
      </c>
      <c r="D5262" s="5" t="s">
        <v>12</v>
      </c>
      <c r="E5262" s="5" t="s">
        <v>3962</v>
      </c>
    </row>
    <row r="5263" spans="1:5" x14ac:dyDescent="0.25">
      <c r="A5263" s="5">
        <f>5255</f>
      </c>
      <c r="B5263" s="5" t="s">
        <v>4505</v>
      </c>
      <c r="C5263" s="5" t="s">
        <v>11</v>
      </c>
      <c r="D5263" s="5" t="s">
        <v>12</v>
      </c>
      <c r="E5263" s="5" t="s">
        <v>3962</v>
      </c>
    </row>
    <row r="5264" spans="1:5" x14ac:dyDescent="0.25">
      <c r="A5264" s="5">
        <f>5256</f>
      </c>
      <c r="B5264" s="5" t="s">
        <v>4506</v>
      </c>
      <c r="C5264" s="5" t="s">
        <v>11</v>
      </c>
      <c r="D5264" s="5" t="s">
        <v>12</v>
      </c>
      <c r="E5264" s="5" t="s">
        <v>3962</v>
      </c>
    </row>
    <row r="5265" spans="1:5" x14ac:dyDescent="0.25">
      <c r="A5265" s="5">
        <f>5257</f>
      </c>
      <c r="B5265" s="5" t="s">
        <v>4507</v>
      </c>
      <c r="C5265" s="5" t="s">
        <v>11</v>
      </c>
      <c r="D5265" s="5" t="s">
        <v>12</v>
      </c>
      <c r="E5265" s="5" t="s">
        <v>3962</v>
      </c>
    </row>
    <row r="5266" spans="1:5" x14ac:dyDescent="0.25">
      <c r="A5266" s="5">
        <f>5258</f>
      </c>
      <c r="B5266" s="5" t="s">
        <v>4508</v>
      </c>
      <c r="C5266" s="5" t="s">
        <v>11</v>
      </c>
      <c r="D5266" s="5" t="s">
        <v>12</v>
      </c>
      <c r="E5266" s="5" t="s">
        <v>3962</v>
      </c>
    </row>
    <row r="5267" spans="1:5" x14ac:dyDescent="0.25">
      <c r="A5267" s="5">
        <f>5259</f>
      </c>
      <c r="B5267" s="5" t="s">
        <v>4509</v>
      </c>
      <c r="C5267" s="5" t="s">
        <v>11</v>
      </c>
      <c r="D5267" s="5" t="s">
        <v>12</v>
      </c>
      <c r="E5267" s="5" t="s">
        <v>3962</v>
      </c>
    </row>
    <row r="5268" spans="1:5" x14ac:dyDescent="0.25">
      <c r="A5268" s="5">
        <f>5260</f>
      </c>
      <c r="B5268" s="5" t="s">
        <v>4510</v>
      </c>
      <c r="C5268" s="5" t="s">
        <v>11</v>
      </c>
      <c r="D5268" s="5" t="s">
        <v>12</v>
      </c>
      <c r="E5268" s="5" t="s">
        <v>3962</v>
      </c>
    </row>
    <row r="5269" spans="1:5" x14ac:dyDescent="0.25">
      <c r="A5269" s="5">
        <f>5261</f>
      </c>
      <c r="B5269" s="5" t="s">
        <v>4511</v>
      </c>
      <c r="C5269" s="5" t="s">
        <v>11</v>
      </c>
      <c r="D5269" s="5" t="s">
        <v>12</v>
      </c>
      <c r="E5269" s="5" t="s">
        <v>3962</v>
      </c>
    </row>
    <row r="5270" spans="1:5" x14ac:dyDescent="0.25">
      <c r="A5270" s="5">
        <f>5262</f>
      </c>
      <c r="B5270" s="5" t="s">
        <v>4512</v>
      </c>
      <c r="C5270" s="5" t="s">
        <v>11</v>
      </c>
      <c r="D5270" s="5" t="s">
        <v>12</v>
      </c>
      <c r="E5270" s="5" t="s">
        <v>3962</v>
      </c>
    </row>
    <row r="5271" spans="1:5" x14ac:dyDescent="0.25">
      <c r="A5271" s="5">
        <f>5263</f>
      </c>
      <c r="B5271" s="5" t="s">
        <v>4513</v>
      </c>
      <c r="C5271" s="5" t="s">
        <v>11</v>
      </c>
      <c r="D5271" s="5" t="s">
        <v>12</v>
      </c>
      <c r="E5271" s="5" t="s">
        <v>3962</v>
      </c>
    </row>
    <row r="5272" spans="1:5" x14ac:dyDescent="0.25">
      <c r="A5272" s="5">
        <f>5264</f>
      </c>
      <c r="B5272" s="5" t="s">
        <v>4514</v>
      </c>
      <c r="C5272" s="5" t="s">
        <v>11</v>
      </c>
      <c r="D5272" s="5" t="s">
        <v>12</v>
      </c>
      <c r="E5272" s="5" t="s">
        <v>3962</v>
      </c>
    </row>
    <row r="5273" spans="1:5" x14ac:dyDescent="0.25">
      <c r="A5273" s="5">
        <f>5265</f>
      </c>
      <c r="B5273" s="5" t="s">
        <v>4515</v>
      </c>
      <c r="C5273" s="5" t="s">
        <v>11</v>
      </c>
      <c r="D5273" s="5" t="s">
        <v>12</v>
      </c>
      <c r="E5273" s="5" t="s">
        <v>3962</v>
      </c>
    </row>
    <row r="5274" spans="1:5" x14ac:dyDescent="0.25">
      <c r="A5274" s="5">
        <f>5266</f>
      </c>
      <c r="B5274" s="5" t="s">
        <v>4516</v>
      </c>
      <c r="C5274" s="5" t="s">
        <v>11</v>
      </c>
      <c r="D5274" s="5" t="s">
        <v>12</v>
      </c>
      <c r="E5274" s="5" t="s">
        <v>3962</v>
      </c>
    </row>
    <row r="5275" spans="1:5" x14ac:dyDescent="0.25">
      <c r="A5275" s="5">
        <f>5267</f>
      </c>
      <c r="B5275" s="5" t="s">
        <v>4517</v>
      </c>
      <c r="C5275" s="5" t="s">
        <v>11</v>
      </c>
      <c r="D5275" s="5" t="s">
        <v>12</v>
      </c>
      <c r="E5275" s="5" t="s">
        <v>3962</v>
      </c>
    </row>
    <row r="5276" spans="1:5" x14ac:dyDescent="0.25">
      <c r="A5276" s="5">
        <f>5268</f>
      </c>
      <c r="B5276" s="5" t="s">
        <v>4518</v>
      </c>
      <c r="C5276" s="5" t="s">
        <v>11</v>
      </c>
      <c r="D5276" s="5" t="s">
        <v>12</v>
      </c>
      <c r="E5276" s="5" t="s">
        <v>3962</v>
      </c>
    </row>
    <row r="5277" spans="1:5" x14ac:dyDescent="0.25">
      <c r="A5277" s="5">
        <f>5269</f>
      </c>
      <c r="B5277" s="5" t="s">
        <v>4519</v>
      </c>
      <c r="C5277" s="5" t="s">
        <v>11</v>
      </c>
      <c r="D5277" s="5" t="s">
        <v>12</v>
      </c>
      <c r="E5277" s="5" t="s">
        <v>3962</v>
      </c>
    </row>
    <row r="5278" spans="1:5" x14ac:dyDescent="0.25">
      <c r="A5278" s="5">
        <f>5270</f>
      </c>
      <c r="B5278" s="5" t="s">
        <v>4520</v>
      </c>
      <c r="C5278" s="5" t="s">
        <v>11</v>
      </c>
      <c r="D5278" s="5" t="s">
        <v>12</v>
      </c>
      <c r="E5278" s="5" t="s">
        <v>3962</v>
      </c>
    </row>
    <row r="5279" spans="1:5" x14ac:dyDescent="0.25">
      <c r="A5279" s="5">
        <f>5271</f>
      </c>
      <c r="B5279" s="5" t="s">
        <v>4521</v>
      </c>
      <c r="C5279" s="5" t="s">
        <v>11</v>
      </c>
      <c r="D5279" s="5" t="s">
        <v>12</v>
      </c>
      <c r="E5279" s="5" t="s">
        <v>3962</v>
      </c>
    </row>
    <row r="5280" spans="1:5" x14ac:dyDescent="0.25">
      <c r="A5280" s="5">
        <f>5272</f>
      </c>
      <c r="B5280" s="5" t="s">
        <v>4522</v>
      </c>
      <c r="C5280" s="5" t="s">
        <v>11</v>
      </c>
      <c r="D5280" s="5" t="s">
        <v>12</v>
      </c>
      <c r="E5280" s="5" t="s">
        <v>3962</v>
      </c>
    </row>
    <row r="5281" spans="1:5" x14ac:dyDescent="0.25">
      <c r="A5281" s="5">
        <f>5273</f>
      </c>
      <c r="B5281" s="5" t="s">
        <v>4523</v>
      </c>
      <c r="C5281" s="5" t="s">
        <v>11</v>
      </c>
      <c r="D5281" s="5" t="s">
        <v>12</v>
      </c>
      <c r="E5281" s="5" t="s">
        <v>3962</v>
      </c>
    </row>
    <row r="5282" spans="1:5" x14ac:dyDescent="0.25">
      <c r="A5282" s="5">
        <f>5274</f>
      </c>
      <c r="B5282" s="5" t="s">
        <v>4524</v>
      </c>
      <c r="C5282" s="5" t="s">
        <v>11</v>
      </c>
      <c r="D5282" s="5" t="s">
        <v>12</v>
      </c>
      <c r="E5282" s="5" t="s">
        <v>3962</v>
      </c>
    </row>
    <row r="5283" spans="1:5" x14ac:dyDescent="0.25">
      <c r="A5283" s="5">
        <f>5275</f>
      </c>
      <c r="B5283" s="5" t="s">
        <v>4525</v>
      </c>
      <c r="C5283" s="5" t="s">
        <v>11</v>
      </c>
      <c r="D5283" s="5" t="s">
        <v>12</v>
      </c>
      <c r="E5283" s="5" t="s">
        <v>3962</v>
      </c>
    </row>
    <row r="5284" spans="1:5" x14ac:dyDescent="0.25">
      <c r="A5284" s="5">
        <f>5276</f>
      </c>
      <c r="B5284" s="5" t="s">
        <v>4526</v>
      </c>
      <c r="C5284" s="5" t="s">
        <v>11</v>
      </c>
      <c r="D5284" s="5" t="s">
        <v>12</v>
      </c>
      <c r="E5284" s="5" t="s">
        <v>3962</v>
      </c>
    </row>
    <row r="5285" spans="1:5" x14ac:dyDescent="0.25">
      <c r="A5285" s="5">
        <f>5277</f>
      </c>
      <c r="B5285" s="5" t="s">
        <v>4527</v>
      </c>
      <c r="C5285" s="5" t="s">
        <v>11</v>
      </c>
      <c r="D5285" s="5" t="s">
        <v>12</v>
      </c>
      <c r="E5285" s="5" t="s">
        <v>3962</v>
      </c>
    </row>
    <row r="5286" spans="1:5" x14ac:dyDescent="0.25">
      <c r="A5286" s="5">
        <f>5278</f>
      </c>
      <c r="B5286" s="5" t="s">
        <v>4528</v>
      </c>
      <c r="C5286" s="5" t="s">
        <v>11</v>
      </c>
      <c r="D5286" s="5" t="s">
        <v>12</v>
      </c>
      <c r="E5286" s="5" t="s">
        <v>3962</v>
      </c>
    </row>
    <row r="5287" spans="1:5" x14ac:dyDescent="0.25">
      <c r="A5287" s="5">
        <f>5279</f>
      </c>
      <c r="B5287" s="5" t="s">
        <v>4529</v>
      </c>
      <c r="C5287" s="5" t="s">
        <v>11</v>
      </c>
      <c r="D5287" s="5" t="s">
        <v>12</v>
      </c>
      <c r="E5287" s="5" t="s">
        <v>3962</v>
      </c>
    </row>
    <row r="5288" spans="1:5" x14ac:dyDescent="0.25">
      <c r="A5288" s="5">
        <f>5280</f>
      </c>
      <c r="B5288" s="5" t="s">
        <v>4530</v>
      </c>
      <c r="C5288" s="5" t="s">
        <v>11</v>
      </c>
      <c r="D5288" s="5" t="s">
        <v>12</v>
      </c>
      <c r="E5288" s="5" t="s">
        <v>3962</v>
      </c>
    </row>
    <row r="5289" spans="1:5" x14ac:dyDescent="0.25">
      <c r="A5289" s="5">
        <f>5281</f>
      </c>
      <c r="B5289" s="5" t="s">
        <v>4531</v>
      </c>
      <c r="C5289" s="5" t="s">
        <v>11</v>
      </c>
      <c r="D5289" s="5" t="s">
        <v>12</v>
      </c>
      <c r="E5289" s="5" t="s">
        <v>3962</v>
      </c>
    </row>
    <row r="5290" spans="1:5" x14ac:dyDescent="0.25">
      <c r="A5290" s="5">
        <f>5282</f>
      </c>
      <c r="B5290" s="5" t="s">
        <v>4532</v>
      </c>
      <c r="C5290" s="5" t="s">
        <v>11</v>
      </c>
      <c r="D5290" s="5" t="s">
        <v>12</v>
      </c>
      <c r="E5290" s="5" t="s">
        <v>3962</v>
      </c>
    </row>
    <row r="5291" spans="1:5" x14ac:dyDescent="0.25">
      <c r="A5291" s="5">
        <f>5283</f>
      </c>
      <c r="B5291" s="5" t="s">
        <v>4533</v>
      </c>
      <c r="C5291" s="5" t="s">
        <v>11</v>
      </c>
      <c r="D5291" s="5" t="s">
        <v>12</v>
      </c>
      <c r="E5291" s="5" t="s">
        <v>3962</v>
      </c>
    </row>
    <row r="5292" spans="1:5" x14ac:dyDescent="0.25">
      <c r="A5292" s="5">
        <f>5284</f>
      </c>
      <c r="B5292" s="5" t="s">
        <v>4534</v>
      </c>
      <c r="C5292" s="5" t="s">
        <v>11</v>
      </c>
      <c r="D5292" s="5" t="s">
        <v>12</v>
      </c>
      <c r="E5292" s="5" t="s">
        <v>3962</v>
      </c>
    </row>
    <row r="5293" spans="1:5" x14ac:dyDescent="0.25">
      <c r="A5293" s="5">
        <f>5285</f>
      </c>
      <c r="B5293" s="5" t="s">
        <v>4535</v>
      </c>
      <c r="C5293" s="5" t="s">
        <v>11</v>
      </c>
      <c r="D5293" s="5" t="s">
        <v>12</v>
      </c>
      <c r="E5293" s="5" t="s">
        <v>3962</v>
      </c>
    </row>
    <row r="5294" spans="1:5" x14ac:dyDescent="0.25">
      <c r="A5294" s="5">
        <f>5286</f>
      </c>
      <c r="B5294" s="5" t="s">
        <v>4536</v>
      </c>
      <c r="C5294" s="5" t="s">
        <v>11</v>
      </c>
      <c r="D5294" s="5" t="s">
        <v>12</v>
      </c>
      <c r="E5294" s="5" t="s">
        <v>3962</v>
      </c>
    </row>
    <row r="5295" spans="1:5" x14ac:dyDescent="0.25">
      <c r="A5295" s="5">
        <f>5287</f>
      </c>
      <c r="B5295" s="5" t="s">
        <v>4537</v>
      </c>
      <c r="C5295" s="5" t="s">
        <v>11</v>
      </c>
      <c r="D5295" s="5" t="s">
        <v>12</v>
      </c>
      <c r="E5295" s="5" t="s">
        <v>3962</v>
      </c>
    </row>
    <row r="5296" spans="1:5" x14ac:dyDescent="0.25">
      <c r="A5296" s="5">
        <f>5288</f>
      </c>
      <c r="B5296" s="5" t="s">
        <v>4538</v>
      </c>
      <c r="C5296" s="5" t="s">
        <v>11</v>
      </c>
      <c r="D5296" s="5" t="s">
        <v>12</v>
      </c>
      <c r="E5296" s="5" t="s">
        <v>3962</v>
      </c>
    </row>
    <row r="5297" spans="1:5" x14ac:dyDescent="0.25">
      <c r="A5297" s="5">
        <f>5289</f>
      </c>
      <c r="B5297" s="5" t="s">
        <v>4539</v>
      </c>
      <c r="C5297" s="5" t="s">
        <v>11</v>
      </c>
      <c r="D5297" s="5" t="s">
        <v>12</v>
      </c>
      <c r="E5297" s="5" t="s">
        <v>3962</v>
      </c>
    </row>
    <row r="5298" spans="1:5" x14ac:dyDescent="0.25">
      <c r="A5298" s="5">
        <f>5290</f>
      </c>
      <c r="B5298" s="5" t="s">
        <v>4540</v>
      </c>
      <c r="C5298" s="5" t="s">
        <v>11</v>
      </c>
      <c r="D5298" s="5" t="s">
        <v>12</v>
      </c>
      <c r="E5298" s="5" t="s">
        <v>3962</v>
      </c>
    </row>
    <row r="5299" spans="1:5" x14ac:dyDescent="0.25">
      <c r="A5299" s="5">
        <f>5291</f>
      </c>
      <c r="B5299" s="5" t="s">
        <v>4541</v>
      </c>
      <c r="C5299" s="5" t="s">
        <v>11</v>
      </c>
      <c r="D5299" s="5" t="s">
        <v>12</v>
      </c>
      <c r="E5299" s="5" t="s">
        <v>3962</v>
      </c>
    </row>
    <row r="5300" spans="1:5" x14ac:dyDescent="0.25">
      <c r="A5300" s="5">
        <f>5292</f>
      </c>
      <c r="B5300" s="5" t="s">
        <v>4542</v>
      </c>
      <c r="C5300" s="5" t="s">
        <v>11</v>
      </c>
      <c r="D5300" s="5" t="s">
        <v>12</v>
      </c>
      <c r="E5300" s="5" t="s">
        <v>3962</v>
      </c>
    </row>
    <row r="5301" spans="1:5" x14ac:dyDescent="0.25">
      <c r="A5301" s="5">
        <f>5293</f>
      </c>
      <c r="B5301" s="5" t="s">
        <v>4543</v>
      </c>
      <c r="C5301" s="5" t="s">
        <v>11</v>
      </c>
      <c r="D5301" s="5" t="s">
        <v>12</v>
      </c>
      <c r="E5301" s="5" t="s">
        <v>3962</v>
      </c>
    </row>
    <row r="5302" spans="1:5" x14ac:dyDescent="0.25">
      <c r="A5302" s="5">
        <f>5294</f>
      </c>
      <c r="B5302" s="5" t="s">
        <v>4544</v>
      </c>
      <c r="C5302" s="5" t="s">
        <v>11</v>
      </c>
      <c r="D5302" s="5" t="s">
        <v>12</v>
      </c>
      <c r="E5302" s="5" t="s">
        <v>3962</v>
      </c>
    </row>
    <row r="5303" spans="1:5" x14ac:dyDescent="0.25">
      <c r="A5303" s="5">
        <f>5295</f>
      </c>
      <c r="B5303" s="5" t="s">
        <v>4545</v>
      </c>
      <c r="C5303" s="5" t="s">
        <v>11</v>
      </c>
      <c r="D5303" s="5" t="s">
        <v>12</v>
      </c>
      <c r="E5303" s="5" t="s">
        <v>3962</v>
      </c>
    </row>
    <row r="5304" spans="1:5" x14ac:dyDescent="0.25">
      <c r="A5304" s="5">
        <f>5296</f>
      </c>
      <c r="B5304" s="5" t="s">
        <v>4546</v>
      </c>
      <c r="C5304" s="5" t="s">
        <v>11</v>
      </c>
      <c r="D5304" s="5" t="s">
        <v>12</v>
      </c>
      <c r="E5304" s="5" t="s">
        <v>3962</v>
      </c>
    </row>
    <row r="5305" spans="1:5" x14ac:dyDescent="0.25">
      <c r="A5305" s="5">
        <f>5297</f>
      </c>
      <c r="B5305" s="5" t="s">
        <v>4547</v>
      </c>
      <c r="C5305" s="5" t="s">
        <v>11</v>
      </c>
      <c r="D5305" s="5" t="s">
        <v>12</v>
      </c>
      <c r="E5305" s="5" t="s">
        <v>3962</v>
      </c>
    </row>
    <row r="5306" spans="1:5" x14ac:dyDescent="0.25">
      <c r="A5306" s="5">
        <f>5298</f>
      </c>
      <c r="B5306" s="5" t="s">
        <v>4548</v>
      </c>
      <c r="C5306" s="5" t="s">
        <v>11</v>
      </c>
      <c r="D5306" s="5" t="s">
        <v>12</v>
      </c>
      <c r="E5306" s="5" t="s">
        <v>3962</v>
      </c>
    </row>
    <row r="5307" spans="1:5" x14ac:dyDescent="0.25">
      <c r="A5307" s="5">
        <f>5299</f>
      </c>
      <c r="B5307" s="5" t="s">
        <v>4549</v>
      </c>
      <c r="C5307" s="5" t="s">
        <v>11</v>
      </c>
      <c r="D5307" s="5" t="s">
        <v>12</v>
      </c>
      <c r="E5307" s="5" t="s">
        <v>3962</v>
      </c>
    </row>
    <row r="5308" spans="1:5" x14ac:dyDescent="0.25">
      <c r="A5308" s="5">
        <f>5300</f>
      </c>
      <c r="B5308" s="5" t="s">
        <v>4550</v>
      </c>
      <c r="C5308" s="5" t="s">
        <v>11</v>
      </c>
      <c r="D5308" s="5" t="s">
        <v>12</v>
      </c>
      <c r="E5308" s="5" t="s">
        <v>3962</v>
      </c>
    </row>
    <row r="5309" spans="1:5" x14ac:dyDescent="0.25">
      <c r="A5309" s="5">
        <f>5301</f>
      </c>
      <c r="B5309" s="5" t="s">
        <v>4551</v>
      </c>
      <c r="C5309" s="5" t="s">
        <v>11</v>
      </c>
      <c r="D5309" s="5" t="s">
        <v>12</v>
      </c>
      <c r="E5309" s="5" t="s">
        <v>3962</v>
      </c>
    </row>
    <row r="5310" spans="1:5" x14ac:dyDescent="0.25">
      <c r="A5310" s="5">
        <f>5302</f>
      </c>
      <c r="B5310" s="5" t="s">
        <v>4552</v>
      </c>
      <c r="C5310" s="5" t="s">
        <v>11</v>
      </c>
      <c r="D5310" s="5" t="s">
        <v>12</v>
      </c>
      <c r="E5310" s="5" t="s">
        <v>3962</v>
      </c>
    </row>
    <row r="5311" spans="1:5" x14ac:dyDescent="0.25">
      <c r="A5311" s="5">
        <f>5303</f>
      </c>
      <c r="B5311" s="5" t="s">
        <v>4553</v>
      </c>
      <c r="C5311" s="5" t="s">
        <v>11</v>
      </c>
      <c r="D5311" s="5" t="s">
        <v>12</v>
      </c>
      <c r="E5311" s="5" t="s">
        <v>3962</v>
      </c>
    </row>
    <row r="5312" spans="1:5" x14ac:dyDescent="0.25">
      <c r="A5312" s="5">
        <f>5304</f>
      </c>
      <c r="B5312" s="5" t="s">
        <v>4554</v>
      </c>
      <c r="C5312" s="5" t="s">
        <v>11</v>
      </c>
      <c r="D5312" s="5" t="s">
        <v>12</v>
      </c>
      <c r="E5312" s="5" t="s">
        <v>3962</v>
      </c>
    </row>
    <row r="5313" spans="1:5" x14ac:dyDescent="0.25">
      <c r="A5313" s="5">
        <f>5305</f>
      </c>
      <c r="B5313" s="5" t="s">
        <v>4555</v>
      </c>
      <c r="C5313" s="5" t="s">
        <v>11</v>
      </c>
      <c r="D5313" s="5" t="s">
        <v>12</v>
      </c>
      <c r="E5313" s="5" t="s">
        <v>3962</v>
      </c>
    </row>
    <row r="5314" spans="1:5" x14ac:dyDescent="0.25">
      <c r="A5314" s="5">
        <f>5306</f>
      </c>
      <c r="B5314" s="5" t="s">
        <v>4556</v>
      </c>
      <c r="C5314" s="5" t="s">
        <v>11</v>
      </c>
      <c r="D5314" s="5" t="s">
        <v>12</v>
      </c>
      <c r="E5314" s="5" t="s">
        <v>3962</v>
      </c>
    </row>
    <row r="5315" spans="1:5" x14ac:dyDescent="0.25">
      <c r="A5315" s="5">
        <f>5307</f>
      </c>
      <c r="B5315" s="5" t="s">
        <v>4557</v>
      </c>
      <c r="C5315" s="5" t="s">
        <v>11</v>
      </c>
      <c r="D5315" s="5" t="s">
        <v>12</v>
      </c>
      <c r="E5315" s="5" t="s">
        <v>3962</v>
      </c>
    </row>
    <row r="5316" spans="1:5" x14ac:dyDescent="0.25">
      <c r="A5316" s="5">
        <f>5308</f>
      </c>
      <c r="B5316" s="5" t="s">
        <v>4558</v>
      </c>
      <c r="C5316" s="5" t="s">
        <v>11</v>
      </c>
      <c r="D5316" s="5" t="s">
        <v>12</v>
      </c>
      <c r="E5316" s="5" t="s">
        <v>3962</v>
      </c>
    </row>
    <row r="5317" spans="1:5" x14ac:dyDescent="0.25">
      <c r="A5317" s="5">
        <f>5309</f>
      </c>
      <c r="B5317" s="5" t="s">
        <v>4559</v>
      </c>
      <c r="C5317" s="5" t="s">
        <v>11</v>
      </c>
      <c r="D5317" s="5" t="s">
        <v>12</v>
      </c>
      <c r="E5317" s="5" t="s">
        <v>3962</v>
      </c>
    </row>
    <row r="5318" spans="1:5" x14ac:dyDescent="0.25">
      <c r="A5318" s="5">
        <f>5310</f>
      </c>
      <c r="B5318" s="5" t="s">
        <v>4560</v>
      </c>
      <c r="C5318" s="5" t="s">
        <v>11</v>
      </c>
      <c r="D5318" s="5" t="s">
        <v>12</v>
      </c>
      <c r="E5318" s="5" t="s">
        <v>3962</v>
      </c>
    </row>
    <row r="5319" spans="1:5" x14ac:dyDescent="0.25">
      <c r="A5319" s="5">
        <f>5311</f>
      </c>
      <c r="B5319" s="5" t="s">
        <v>4561</v>
      </c>
      <c r="C5319" s="5" t="s">
        <v>11</v>
      </c>
      <c r="D5319" s="5" t="s">
        <v>12</v>
      </c>
      <c r="E5319" s="5" t="s">
        <v>3962</v>
      </c>
    </row>
    <row r="5320" spans="1:5" x14ac:dyDescent="0.25">
      <c r="A5320" s="5">
        <f>5312</f>
      </c>
      <c r="B5320" s="5" t="s">
        <v>4562</v>
      </c>
      <c r="C5320" s="5" t="s">
        <v>11</v>
      </c>
      <c r="D5320" s="5" t="s">
        <v>12</v>
      </c>
      <c r="E5320" s="5" t="s">
        <v>3962</v>
      </c>
    </row>
    <row r="5321" spans="1:5" x14ac:dyDescent="0.25">
      <c r="A5321" s="5">
        <f>5313</f>
      </c>
      <c r="B5321" s="5" t="s">
        <v>4563</v>
      </c>
      <c r="C5321" s="5" t="s">
        <v>11</v>
      </c>
      <c r="D5321" s="5" t="s">
        <v>12</v>
      </c>
      <c r="E5321" s="5" t="s">
        <v>3962</v>
      </c>
    </row>
    <row r="5322" spans="1:5" x14ac:dyDescent="0.25">
      <c r="A5322" s="5">
        <f>5314</f>
      </c>
      <c r="B5322" s="5" t="s">
        <v>4564</v>
      </c>
      <c r="C5322" s="5" t="s">
        <v>11</v>
      </c>
      <c r="D5322" s="5" t="s">
        <v>12</v>
      </c>
      <c r="E5322" s="5" t="s">
        <v>3962</v>
      </c>
    </row>
    <row r="5323" spans="1:5" x14ac:dyDescent="0.25">
      <c r="A5323" s="5">
        <f>5315</f>
      </c>
      <c r="B5323" s="5" t="s">
        <v>4565</v>
      </c>
      <c r="C5323" s="5" t="s">
        <v>11</v>
      </c>
      <c r="D5323" s="5" t="s">
        <v>12</v>
      </c>
      <c r="E5323" s="5" t="s">
        <v>3962</v>
      </c>
    </row>
    <row r="5324" spans="1:5" x14ac:dyDescent="0.25">
      <c r="A5324" s="5">
        <f>5316</f>
      </c>
      <c r="B5324" s="5" t="s">
        <v>4566</v>
      </c>
      <c r="C5324" s="5" t="s">
        <v>11</v>
      </c>
      <c r="D5324" s="5" t="s">
        <v>12</v>
      </c>
      <c r="E5324" s="5" t="s">
        <v>3962</v>
      </c>
    </row>
    <row r="5325" spans="1:5" x14ac:dyDescent="0.25">
      <c r="A5325" s="5">
        <f>5317</f>
      </c>
      <c r="B5325" s="5" t="s">
        <v>4567</v>
      </c>
      <c r="C5325" s="5" t="s">
        <v>11</v>
      </c>
      <c r="D5325" s="5" t="s">
        <v>12</v>
      </c>
      <c r="E5325" s="5" t="s">
        <v>3962</v>
      </c>
    </row>
    <row r="5326" spans="1:5" x14ac:dyDescent="0.25">
      <c r="A5326" s="5">
        <f>5318</f>
      </c>
      <c r="B5326" s="5" t="s">
        <v>4568</v>
      </c>
      <c r="C5326" s="5" t="s">
        <v>11</v>
      </c>
      <c r="D5326" s="5" t="s">
        <v>12</v>
      </c>
      <c r="E5326" s="5" t="s">
        <v>3962</v>
      </c>
    </row>
    <row r="5327" spans="1:5" x14ac:dyDescent="0.25">
      <c r="A5327" s="5">
        <f>5319</f>
      </c>
      <c r="B5327" s="5" t="s">
        <v>4569</v>
      </c>
      <c r="C5327" s="5" t="s">
        <v>11</v>
      </c>
      <c r="D5327" s="5" t="s">
        <v>12</v>
      </c>
      <c r="E5327" s="5" t="s">
        <v>3962</v>
      </c>
    </row>
    <row r="5328" spans="1:5" x14ac:dyDescent="0.25">
      <c r="A5328" s="5">
        <f>5320</f>
      </c>
      <c r="B5328" s="5" t="s">
        <v>4570</v>
      </c>
      <c r="C5328" s="5" t="s">
        <v>11</v>
      </c>
      <c r="D5328" s="5" t="s">
        <v>12</v>
      </c>
      <c r="E5328" s="5" t="s">
        <v>3962</v>
      </c>
    </row>
    <row r="5329" spans="1:5" x14ac:dyDescent="0.25">
      <c r="A5329" s="5">
        <f>5321</f>
      </c>
      <c r="B5329" s="5" t="s">
        <v>4571</v>
      </c>
      <c r="C5329" s="5" t="s">
        <v>11</v>
      </c>
      <c r="D5329" s="5" t="s">
        <v>12</v>
      </c>
      <c r="E5329" s="5" t="s">
        <v>3962</v>
      </c>
    </row>
    <row r="5330" spans="1:5" x14ac:dyDescent="0.25">
      <c r="A5330" s="5">
        <f>5322</f>
      </c>
      <c r="B5330" s="5" t="s">
        <v>4572</v>
      </c>
      <c r="C5330" s="5" t="s">
        <v>11</v>
      </c>
      <c r="D5330" s="5" t="s">
        <v>12</v>
      </c>
      <c r="E5330" s="5" t="s">
        <v>3962</v>
      </c>
    </row>
    <row r="5331" spans="1:5" x14ac:dyDescent="0.25">
      <c r="A5331" s="5">
        <f>5323</f>
      </c>
      <c r="B5331" s="5" t="s">
        <v>4573</v>
      </c>
      <c r="C5331" s="5" t="s">
        <v>11</v>
      </c>
      <c r="D5331" s="5" t="s">
        <v>12</v>
      </c>
      <c r="E5331" s="5" t="s">
        <v>3962</v>
      </c>
    </row>
    <row r="5332" spans="1:5" x14ac:dyDescent="0.25">
      <c r="A5332" s="5">
        <f>5324</f>
      </c>
      <c r="B5332" s="5" t="s">
        <v>4574</v>
      </c>
      <c r="C5332" s="5" t="s">
        <v>11</v>
      </c>
      <c r="D5332" s="5" t="s">
        <v>12</v>
      </c>
      <c r="E5332" s="5" t="s">
        <v>3962</v>
      </c>
    </row>
    <row r="5333" spans="1:5" x14ac:dyDescent="0.25">
      <c r="A5333" s="5">
        <f>5325</f>
      </c>
      <c r="B5333" s="5" t="s">
        <v>4575</v>
      </c>
      <c r="C5333" s="5" t="s">
        <v>11</v>
      </c>
      <c r="D5333" s="5" t="s">
        <v>12</v>
      </c>
      <c r="E5333" s="5" t="s">
        <v>3962</v>
      </c>
    </row>
    <row r="5334" spans="1:5" x14ac:dyDescent="0.25">
      <c r="A5334" s="5">
        <f>5326</f>
      </c>
      <c r="B5334" s="5" t="s">
        <v>4576</v>
      </c>
      <c r="C5334" s="5" t="s">
        <v>11</v>
      </c>
      <c r="D5334" s="5" t="s">
        <v>12</v>
      </c>
      <c r="E5334" s="5" t="s">
        <v>3962</v>
      </c>
    </row>
    <row r="5335" spans="1:5" x14ac:dyDescent="0.25">
      <c r="A5335" s="5">
        <f>5327</f>
      </c>
      <c r="B5335" s="5" t="s">
        <v>4577</v>
      </c>
      <c r="C5335" s="5" t="s">
        <v>11</v>
      </c>
      <c r="D5335" s="5" t="s">
        <v>12</v>
      </c>
      <c r="E5335" s="5" t="s">
        <v>3962</v>
      </c>
    </row>
    <row r="5336" spans="1:5" x14ac:dyDescent="0.25">
      <c r="A5336" s="5">
        <f>5328</f>
      </c>
      <c r="B5336" s="5" t="s">
        <v>4578</v>
      </c>
      <c r="C5336" s="5" t="s">
        <v>11</v>
      </c>
      <c r="D5336" s="5" t="s">
        <v>12</v>
      </c>
      <c r="E5336" s="5" t="s">
        <v>3962</v>
      </c>
    </row>
    <row r="5337" spans="1:5" x14ac:dyDescent="0.25">
      <c r="A5337" s="5">
        <f>5329</f>
      </c>
      <c r="B5337" s="5" t="s">
        <v>4579</v>
      </c>
      <c r="C5337" s="5" t="s">
        <v>11</v>
      </c>
      <c r="D5337" s="5" t="s">
        <v>12</v>
      </c>
      <c r="E5337" s="5" t="s">
        <v>3962</v>
      </c>
    </row>
    <row r="5338" spans="1:5" x14ac:dyDescent="0.25">
      <c r="A5338" s="5">
        <f>5330</f>
      </c>
      <c r="B5338" s="5" t="s">
        <v>4580</v>
      </c>
      <c r="C5338" s="5" t="s">
        <v>11</v>
      </c>
      <c r="D5338" s="5" t="s">
        <v>12</v>
      </c>
      <c r="E5338" s="5" t="s">
        <v>3962</v>
      </c>
    </row>
    <row r="5339" spans="1:5" x14ac:dyDescent="0.25">
      <c r="A5339" s="5">
        <f>5331</f>
      </c>
      <c r="B5339" s="5" t="s">
        <v>4581</v>
      </c>
      <c r="C5339" s="5" t="s">
        <v>11</v>
      </c>
      <c r="D5339" s="5" t="s">
        <v>12</v>
      </c>
      <c r="E5339" s="5" t="s">
        <v>3962</v>
      </c>
    </row>
    <row r="5340" spans="1:5" x14ac:dyDescent="0.25">
      <c r="A5340" s="5">
        <f>5332</f>
      </c>
      <c r="B5340" s="5" t="s">
        <v>4582</v>
      </c>
      <c r="C5340" s="5" t="s">
        <v>11</v>
      </c>
      <c r="D5340" s="5" t="s">
        <v>12</v>
      </c>
      <c r="E5340" s="5" t="s">
        <v>3962</v>
      </c>
    </row>
    <row r="5341" spans="1:5" x14ac:dyDescent="0.25">
      <c r="A5341" s="5">
        <f>5333</f>
      </c>
      <c r="B5341" s="5" t="s">
        <v>4583</v>
      </c>
      <c r="C5341" s="5" t="s">
        <v>11</v>
      </c>
      <c r="D5341" s="5" t="s">
        <v>12</v>
      </c>
      <c r="E5341" s="5" t="s">
        <v>3962</v>
      </c>
    </row>
    <row r="5342" spans="1:5" x14ac:dyDescent="0.25">
      <c r="A5342" s="5">
        <f>5334</f>
      </c>
      <c r="B5342" s="5" t="s">
        <v>4584</v>
      </c>
      <c r="C5342" s="5" t="s">
        <v>11</v>
      </c>
      <c r="D5342" s="5" t="s">
        <v>12</v>
      </c>
      <c r="E5342" s="5" t="s">
        <v>3962</v>
      </c>
    </row>
    <row r="5343" spans="1:5" x14ac:dyDescent="0.25">
      <c r="A5343" s="5">
        <f>5335</f>
      </c>
      <c r="B5343" s="5" t="s">
        <v>4585</v>
      </c>
      <c r="C5343" s="5" t="s">
        <v>11</v>
      </c>
      <c r="D5343" s="5" t="s">
        <v>12</v>
      </c>
      <c r="E5343" s="5" t="s">
        <v>3962</v>
      </c>
    </row>
    <row r="5344" spans="1:5" x14ac:dyDescent="0.25">
      <c r="A5344" s="5">
        <f>5336</f>
      </c>
      <c r="B5344" s="5" t="s">
        <v>4586</v>
      </c>
      <c r="C5344" s="5" t="s">
        <v>11</v>
      </c>
      <c r="D5344" s="5" t="s">
        <v>12</v>
      </c>
      <c r="E5344" s="5" t="s">
        <v>3962</v>
      </c>
    </row>
    <row r="5345" spans="1:5" x14ac:dyDescent="0.25">
      <c r="A5345" s="5">
        <f>5337</f>
      </c>
      <c r="B5345" s="5" t="s">
        <v>4587</v>
      </c>
      <c r="C5345" s="5" t="s">
        <v>11</v>
      </c>
      <c r="D5345" s="5" t="s">
        <v>12</v>
      </c>
      <c r="E5345" s="5" t="s">
        <v>3962</v>
      </c>
    </row>
    <row r="5346" spans="1:5" x14ac:dyDescent="0.25">
      <c r="A5346" s="5">
        <f>5338</f>
      </c>
      <c r="B5346" s="5" t="s">
        <v>4588</v>
      </c>
      <c r="C5346" s="5" t="s">
        <v>11</v>
      </c>
      <c r="D5346" s="5" t="s">
        <v>12</v>
      </c>
      <c r="E5346" s="5" t="s">
        <v>3962</v>
      </c>
    </row>
    <row r="5347" spans="1:5" x14ac:dyDescent="0.25">
      <c r="A5347" s="5">
        <f>5339</f>
      </c>
      <c r="B5347" s="5" t="s">
        <v>4589</v>
      </c>
      <c r="C5347" s="5" t="s">
        <v>11</v>
      </c>
      <c r="D5347" s="5" t="s">
        <v>12</v>
      </c>
      <c r="E5347" s="5" t="s">
        <v>3962</v>
      </c>
    </row>
    <row r="5348" spans="1:5" x14ac:dyDescent="0.25">
      <c r="A5348" s="5">
        <f>5340</f>
      </c>
      <c r="B5348" s="5" t="s">
        <v>4590</v>
      </c>
      <c r="C5348" s="5" t="s">
        <v>11</v>
      </c>
      <c r="D5348" s="5" t="s">
        <v>12</v>
      </c>
      <c r="E5348" s="5" t="s">
        <v>3962</v>
      </c>
    </row>
    <row r="5349" spans="1:5" x14ac:dyDescent="0.25">
      <c r="A5349" s="5">
        <f>5341</f>
      </c>
      <c r="B5349" s="5" t="s">
        <v>4591</v>
      </c>
      <c r="C5349" s="5" t="s">
        <v>11</v>
      </c>
      <c r="D5349" s="5" t="s">
        <v>12</v>
      </c>
      <c r="E5349" s="5" t="s">
        <v>3962</v>
      </c>
    </row>
    <row r="5350" spans="1:5" x14ac:dyDescent="0.25">
      <c r="A5350" s="5">
        <f>5342</f>
      </c>
      <c r="B5350" s="5" t="s">
        <v>4592</v>
      </c>
      <c r="C5350" s="5" t="s">
        <v>11</v>
      </c>
      <c r="D5350" s="5" t="s">
        <v>12</v>
      </c>
      <c r="E5350" s="5" t="s">
        <v>3962</v>
      </c>
    </row>
    <row r="5351" spans="1:5" x14ac:dyDescent="0.25">
      <c r="A5351" s="5">
        <f>5343</f>
      </c>
      <c r="B5351" s="5" t="s">
        <v>4593</v>
      </c>
      <c r="C5351" s="5" t="s">
        <v>11</v>
      </c>
      <c r="D5351" s="5" t="s">
        <v>12</v>
      </c>
      <c r="E5351" s="5" t="s">
        <v>3962</v>
      </c>
    </row>
    <row r="5352" spans="1:5" x14ac:dyDescent="0.25">
      <c r="A5352" s="5">
        <f>5344</f>
      </c>
      <c r="B5352" s="5" t="s">
        <v>4594</v>
      </c>
      <c r="C5352" s="5" t="s">
        <v>11</v>
      </c>
      <c r="D5352" s="5" t="s">
        <v>12</v>
      </c>
      <c r="E5352" s="5" t="s">
        <v>3962</v>
      </c>
    </row>
    <row r="5353" spans="1:5" x14ac:dyDescent="0.25">
      <c r="A5353" s="5">
        <f>5345</f>
      </c>
      <c r="B5353" s="5" t="s">
        <v>4595</v>
      </c>
      <c r="C5353" s="5" t="s">
        <v>11</v>
      </c>
      <c r="D5353" s="5" t="s">
        <v>12</v>
      </c>
      <c r="E5353" s="5" t="s">
        <v>3962</v>
      </c>
    </row>
    <row r="5354" spans="1:5" x14ac:dyDescent="0.25">
      <c r="A5354" s="5">
        <f>5346</f>
      </c>
      <c r="B5354" s="5" t="s">
        <v>4596</v>
      </c>
      <c r="C5354" s="5" t="s">
        <v>11</v>
      </c>
      <c r="D5354" s="5" t="s">
        <v>12</v>
      </c>
      <c r="E5354" s="5" t="s">
        <v>3962</v>
      </c>
    </row>
    <row r="5355" spans="1:5" x14ac:dyDescent="0.25">
      <c r="A5355" s="5">
        <f>5347</f>
      </c>
      <c r="B5355" s="5" t="s">
        <v>4597</v>
      </c>
      <c r="C5355" s="5" t="s">
        <v>11</v>
      </c>
      <c r="D5355" s="5" t="s">
        <v>12</v>
      </c>
      <c r="E5355" s="5" t="s">
        <v>3962</v>
      </c>
    </row>
    <row r="5356" spans="1:5" x14ac:dyDescent="0.25">
      <c r="A5356" s="5">
        <f>5348</f>
      </c>
      <c r="B5356" s="5" t="s">
        <v>4598</v>
      </c>
      <c r="C5356" s="5" t="s">
        <v>11</v>
      </c>
      <c r="D5356" s="5" t="s">
        <v>12</v>
      </c>
      <c r="E5356" s="5" t="s">
        <v>3962</v>
      </c>
    </row>
    <row r="5357" spans="1:5" x14ac:dyDescent="0.25">
      <c r="A5357" s="5">
        <f>5349</f>
      </c>
      <c r="B5357" s="5" t="s">
        <v>4599</v>
      </c>
      <c r="C5357" s="5" t="s">
        <v>11</v>
      </c>
      <c r="D5357" s="5" t="s">
        <v>12</v>
      </c>
      <c r="E5357" s="5" t="s">
        <v>3962</v>
      </c>
    </row>
    <row r="5358" spans="1:5" x14ac:dyDescent="0.25">
      <c r="A5358" s="5">
        <f>5350</f>
      </c>
      <c r="B5358" s="5" t="s">
        <v>4600</v>
      </c>
      <c r="C5358" s="5" t="s">
        <v>11</v>
      </c>
      <c r="D5358" s="5" t="s">
        <v>12</v>
      </c>
      <c r="E5358" s="5" t="s">
        <v>3962</v>
      </c>
    </row>
    <row r="5359" spans="1:5" x14ac:dyDescent="0.25">
      <c r="A5359" s="5">
        <f>5351</f>
      </c>
      <c r="B5359" s="5" t="s">
        <v>4601</v>
      </c>
      <c r="C5359" s="5" t="s">
        <v>11</v>
      </c>
      <c r="D5359" s="5" t="s">
        <v>12</v>
      </c>
      <c r="E5359" s="5" t="s">
        <v>3962</v>
      </c>
    </row>
    <row r="5360" spans="1:5" x14ac:dyDescent="0.25">
      <c r="A5360" s="5">
        <f>5352</f>
      </c>
      <c r="B5360" s="5" t="s">
        <v>4602</v>
      </c>
      <c r="C5360" s="5" t="s">
        <v>11</v>
      </c>
      <c r="D5360" s="5" t="s">
        <v>12</v>
      </c>
      <c r="E5360" s="5" t="s">
        <v>3962</v>
      </c>
    </row>
    <row r="5361" spans="1:5" x14ac:dyDescent="0.25">
      <c r="A5361" s="5">
        <f>5353</f>
      </c>
      <c r="B5361" s="5" t="s">
        <v>4603</v>
      </c>
      <c r="C5361" s="5" t="s">
        <v>11</v>
      </c>
      <c r="D5361" s="5" t="s">
        <v>12</v>
      </c>
      <c r="E5361" s="5" t="s">
        <v>3962</v>
      </c>
    </row>
    <row r="5362" spans="1:5" x14ac:dyDescent="0.25">
      <c r="A5362" s="5">
        <f>5354</f>
      </c>
      <c r="B5362" s="5" t="s">
        <v>4604</v>
      </c>
      <c r="C5362" s="5" t="s">
        <v>11</v>
      </c>
      <c r="D5362" s="5" t="s">
        <v>12</v>
      </c>
      <c r="E5362" s="5" t="s">
        <v>3962</v>
      </c>
    </row>
    <row r="5363" spans="1:5" x14ac:dyDescent="0.25">
      <c r="A5363" s="5">
        <f>5355</f>
      </c>
      <c r="B5363" s="5" t="s">
        <v>4605</v>
      </c>
      <c r="C5363" s="5" t="s">
        <v>11</v>
      </c>
      <c r="D5363" s="5" t="s">
        <v>12</v>
      </c>
      <c r="E5363" s="5" t="s">
        <v>3962</v>
      </c>
    </row>
    <row r="5364" spans="1:5" x14ac:dyDescent="0.25">
      <c r="A5364" s="5">
        <f>5356</f>
      </c>
      <c r="B5364" s="5" t="s">
        <v>4606</v>
      </c>
      <c r="C5364" s="5" t="s">
        <v>11</v>
      </c>
      <c r="D5364" s="5" t="s">
        <v>12</v>
      </c>
      <c r="E5364" s="5" t="s">
        <v>3962</v>
      </c>
    </row>
    <row r="5365" spans="1:5" x14ac:dyDescent="0.25">
      <c r="A5365" s="5">
        <f>5357</f>
      </c>
      <c r="B5365" s="5" t="s">
        <v>4607</v>
      </c>
      <c r="C5365" s="5" t="s">
        <v>11</v>
      </c>
      <c r="D5365" s="5" t="s">
        <v>12</v>
      </c>
      <c r="E5365" s="5" t="s">
        <v>3962</v>
      </c>
    </row>
    <row r="5366" spans="1:5" x14ac:dyDescent="0.25">
      <c r="A5366" s="5">
        <f>5358</f>
      </c>
      <c r="B5366" s="5" t="s">
        <v>4608</v>
      </c>
      <c r="C5366" s="5" t="s">
        <v>11</v>
      </c>
      <c r="D5366" s="5" t="s">
        <v>12</v>
      </c>
      <c r="E5366" s="5" t="s">
        <v>3962</v>
      </c>
    </row>
    <row r="5367" spans="1:5" x14ac:dyDescent="0.25">
      <c r="A5367" s="5">
        <f>5359</f>
      </c>
      <c r="B5367" s="5" t="s">
        <v>4609</v>
      </c>
      <c r="C5367" s="5" t="s">
        <v>11</v>
      </c>
      <c r="D5367" s="5" t="s">
        <v>12</v>
      </c>
      <c r="E5367" s="5" t="s">
        <v>3962</v>
      </c>
    </row>
    <row r="5368" spans="1:5" x14ac:dyDescent="0.25">
      <c r="A5368" s="5">
        <f>5360</f>
      </c>
      <c r="B5368" s="5" t="s">
        <v>4610</v>
      </c>
      <c r="C5368" s="5" t="s">
        <v>11</v>
      </c>
      <c r="D5368" s="5" t="s">
        <v>12</v>
      </c>
      <c r="E5368" s="5" t="s">
        <v>3962</v>
      </c>
    </row>
    <row r="5369" spans="1:5" x14ac:dyDescent="0.25">
      <c r="A5369" s="5">
        <f>5361</f>
      </c>
      <c r="B5369" s="5" t="s">
        <v>4611</v>
      </c>
      <c r="C5369" s="5" t="s">
        <v>11</v>
      </c>
      <c r="D5369" s="5" t="s">
        <v>12</v>
      </c>
      <c r="E5369" s="5" t="s">
        <v>3962</v>
      </c>
    </row>
    <row r="5370" spans="1:5" x14ac:dyDescent="0.25">
      <c r="A5370" s="5">
        <f>5362</f>
      </c>
      <c r="B5370" s="5" t="s">
        <v>4612</v>
      </c>
      <c r="C5370" s="5" t="s">
        <v>11</v>
      </c>
      <c r="D5370" s="5" t="s">
        <v>12</v>
      </c>
      <c r="E5370" s="5" t="s">
        <v>3962</v>
      </c>
    </row>
    <row r="5371" spans="1:5" x14ac:dyDescent="0.25">
      <c r="A5371" s="5">
        <f>5363</f>
      </c>
      <c r="B5371" s="5" t="s">
        <v>4613</v>
      </c>
      <c r="C5371" s="5" t="s">
        <v>11</v>
      </c>
      <c r="D5371" s="5" t="s">
        <v>12</v>
      </c>
      <c r="E5371" s="5" t="s">
        <v>3962</v>
      </c>
    </row>
    <row r="5372" spans="1:5" x14ac:dyDescent="0.25">
      <c r="A5372" s="5">
        <f>5364</f>
      </c>
      <c r="B5372" s="5" t="s">
        <v>4614</v>
      </c>
      <c r="C5372" s="5" t="s">
        <v>11</v>
      </c>
      <c r="D5372" s="5" t="s">
        <v>12</v>
      </c>
      <c r="E5372" s="5" t="s">
        <v>3962</v>
      </c>
    </row>
    <row r="5373" spans="1:5" x14ac:dyDescent="0.25">
      <c r="A5373" s="5">
        <f>5365</f>
      </c>
      <c r="B5373" s="5" t="s">
        <v>4615</v>
      </c>
      <c r="C5373" s="5" t="s">
        <v>11</v>
      </c>
      <c r="D5373" s="5" t="s">
        <v>12</v>
      </c>
      <c r="E5373" s="5" t="s">
        <v>3962</v>
      </c>
    </row>
    <row r="5374" spans="1:5" x14ac:dyDescent="0.25">
      <c r="A5374" s="5">
        <f>5366</f>
      </c>
      <c r="B5374" s="5" t="s">
        <v>4616</v>
      </c>
      <c r="C5374" s="5" t="s">
        <v>11</v>
      </c>
      <c r="D5374" s="5" t="s">
        <v>12</v>
      </c>
      <c r="E5374" s="5" t="s">
        <v>3962</v>
      </c>
    </row>
    <row r="5375" spans="1:5" x14ac:dyDescent="0.25">
      <c r="A5375" s="5">
        <f>5367</f>
      </c>
      <c r="B5375" s="5" t="s">
        <v>4617</v>
      </c>
      <c r="C5375" s="5" t="s">
        <v>11</v>
      </c>
      <c r="D5375" s="5" t="s">
        <v>12</v>
      </c>
      <c r="E5375" s="5" t="s">
        <v>3962</v>
      </c>
    </row>
    <row r="5376" spans="1:5" x14ac:dyDescent="0.25">
      <c r="A5376" s="5">
        <f>5368</f>
      </c>
      <c r="B5376" s="5" t="s">
        <v>4618</v>
      </c>
      <c r="C5376" s="5" t="s">
        <v>11</v>
      </c>
      <c r="D5376" s="5" t="s">
        <v>12</v>
      </c>
      <c r="E5376" s="5" t="s">
        <v>3962</v>
      </c>
    </row>
    <row r="5377" spans="1:5" x14ac:dyDescent="0.25">
      <c r="A5377" s="5">
        <f>5369</f>
      </c>
      <c r="B5377" s="5" t="s">
        <v>4619</v>
      </c>
      <c r="C5377" s="5" t="s">
        <v>11</v>
      </c>
      <c r="D5377" s="5" t="s">
        <v>12</v>
      </c>
      <c r="E5377" s="5" t="s">
        <v>3962</v>
      </c>
    </row>
    <row r="5378" spans="1:5" x14ac:dyDescent="0.25">
      <c r="A5378" s="5">
        <f>5370</f>
      </c>
      <c r="B5378" s="5" t="s">
        <v>4620</v>
      </c>
      <c r="C5378" s="5" t="s">
        <v>11</v>
      </c>
      <c r="D5378" s="5" t="s">
        <v>12</v>
      </c>
      <c r="E5378" s="5" t="s">
        <v>3962</v>
      </c>
    </row>
    <row r="5379" spans="1:5" x14ac:dyDescent="0.25">
      <c r="A5379" s="5">
        <f>5371</f>
      </c>
      <c r="B5379" s="5" t="s">
        <v>4621</v>
      </c>
      <c r="C5379" s="5" t="s">
        <v>11</v>
      </c>
      <c r="D5379" s="5" t="s">
        <v>12</v>
      </c>
      <c r="E5379" s="5" t="s">
        <v>3962</v>
      </c>
    </row>
    <row r="5380" spans="1:5" x14ac:dyDescent="0.25">
      <c r="A5380" s="5">
        <f>5372</f>
      </c>
      <c r="B5380" s="5" t="s">
        <v>4622</v>
      </c>
      <c r="C5380" s="5" t="s">
        <v>11</v>
      </c>
      <c r="D5380" s="5" t="s">
        <v>12</v>
      </c>
      <c r="E5380" s="5" t="s">
        <v>3962</v>
      </c>
    </row>
    <row r="5381" spans="1:5" x14ac:dyDescent="0.25">
      <c r="A5381" s="5">
        <f>5373</f>
      </c>
      <c r="B5381" s="5" t="s">
        <v>4623</v>
      </c>
      <c r="C5381" s="5" t="s">
        <v>11</v>
      </c>
      <c r="D5381" s="5" t="s">
        <v>12</v>
      </c>
      <c r="E5381" s="5" t="s">
        <v>3962</v>
      </c>
    </row>
    <row r="5382" spans="1:5" x14ac:dyDescent="0.25">
      <c r="A5382" s="5">
        <f>5374</f>
      </c>
      <c r="B5382" s="5" t="s">
        <v>4624</v>
      </c>
      <c r="C5382" s="5" t="s">
        <v>11</v>
      </c>
      <c r="D5382" s="5" t="s">
        <v>12</v>
      </c>
      <c r="E5382" s="5" t="s">
        <v>3962</v>
      </c>
    </row>
    <row r="5383" spans="1:5" x14ac:dyDescent="0.25">
      <c r="A5383" s="5">
        <f>5375</f>
      </c>
      <c r="B5383" s="5" t="s">
        <v>4625</v>
      </c>
      <c r="C5383" s="5" t="s">
        <v>11</v>
      </c>
      <c r="D5383" s="5" t="s">
        <v>12</v>
      </c>
      <c r="E5383" s="5" t="s">
        <v>3962</v>
      </c>
    </row>
    <row r="5384" spans="1:5" x14ac:dyDescent="0.25">
      <c r="A5384" s="5">
        <f>5376</f>
      </c>
      <c r="B5384" s="5" t="s">
        <v>4626</v>
      </c>
      <c r="C5384" s="5" t="s">
        <v>11</v>
      </c>
      <c r="D5384" s="5" t="s">
        <v>12</v>
      </c>
      <c r="E5384" s="5" t="s">
        <v>3962</v>
      </c>
    </row>
    <row r="5385" spans="1:5" x14ac:dyDescent="0.25">
      <c r="A5385" s="5">
        <f>5377</f>
      </c>
      <c r="B5385" s="5" t="s">
        <v>4627</v>
      </c>
      <c r="C5385" s="5" t="s">
        <v>11</v>
      </c>
      <c r="D5385" s="5" t="s">
        <v>12</v>
      </c>
      <c r="E5385" s="5" t="s">
        <v>3962</v>
      </c>
    </row>
    <row r="5386" spans="1:5" x14ac:dyDescent="0.25">
      <c r="A5386" s="5">
        <f>5378</f>
      </c>
      <c r="B5386" s="5" t="s">
        <v>4628</v>
      </c>
      <c r="C5386" s="5" t="s">
        <v>11</v>
      </c>
      <c r="D5386" s="5" t="s">
        <v>12</v>
      </c>
      <c r="E5386" s="5" t="s">
        <v>3962</v>
      </c>
    </row>
    <row r="5387" spans="1:5" x14ac:dyDescent="0.25">
      <c r="A5387" s="5">
        <f>5379</f>
      </c>
      <c r="B5387" s="5" t="s">
        <v>4629</v>
      </c>
      <c r="C5387" s="5" t="s">
        <v>11</v>
      </c>
      <c r="D5387" s="5" t="s">
        <v>12</v>
      </c>
      <c r="E5387" s="5" t="s">
        <v>3962</v>
      </c>
    </row>
    <row r="5388" spans="1:5" x14ac:dyDescent="0.25">
      <c r="A5388" s="5">
        <f>5380</f>
      </c>
      <c r="B5388" s="5" t="s">
        <v>4630</v>
      </c>
      <c r="C5388" s="5" t="s">
        <v>11</v>
      </c>
      <c r="D5388" s="5" t="s">
        <v>12</v>
      </c>
      <c r="E5388" s="5" t="s">
        <v>3962</v>
      </c>
    </row>
    <row r="5389" spans="1:5" x14ac:dyDescent="0.25">
      <c r="A5389" s="5">
        <f>5381</f>
      </c>
      <c r="B5389" s="5" t="s">
        <v>4631</v>
      </c>
      <c r="C5389" s="5" t="s">
        <v>11</v>
      </c>
      <c r="D5389" s="5" t="s">
        <v>12</v>
      </c>
      <c r="E5389" s="5" t="s">
        <v>3962</v>
      </c>
    </row>
    <row r="5390" spans="1:5" x14ac:dyDescent="0.25">
      <c r="A5390" s="5">
        <f>5382</f>
      </c>
      <c r="B5390" s="5" t="s">
        <v>4632</v>
      </c>
      <c r="C5390" s="5" t="s">
        <v>11</v>
      </c>
      <c r="D5390" s="5" t="s">
        <v>12</v>
      </c>
      <c r="E5390" s="5" t="s">
        <v>3962</v>
      </c>
    </row>
    <row r="5391" spans="1:5" x14ac:dyDescent="0.25">
      <c r="A5391" s="5">
        <f>5383</f>
      </c>
      <c r="B5391" s="5" t="s">
        <v>4633</v>
      </c>
      <c r="C5391" s="5" t="s">
        <v>11</v>
      </c>
      <c r="D5391" s="5" t="s">
        <v>12</v>
      </c>
      <c r="E5391" s="5" t="s">
        <v>3962</v>
      </c>
    </row>
    <row r="5392" spans="1:5" x14ac:dyDescent="0.25">
      <c r="A5392" s="5">
        <f>5384</f>
      </c>
      <c r="B5392" s="5" t="s">
        <v>4634</v>
      </c>
      <c r="C5392" s="5" t="s">
        <v>11</v>
      </c>
      <c r="D5392" s="5" t="s">
        <v>12</v>
      </c>
      <c r="E5392" s="5" t="s">
        <v>3962</v>
      </c>
    </row>
    <row r="5393" spans="1:5" x14ac:dyDescent="0.25">
      <c r="A5393" s="5">
        <f>5385</f>
      </c>
      <c r="B5393" s="5" t="s">
        <v>4635</v>
      </c>
      <c r="C5393" s="5" t="s">
        <v>11</v>
      </c>
      <c r="D5393" s="5" t="s">
        <v>12</v>
      </c>
      <c r="E5393" s="5" t="s">
        <v>3962</v>
      </c>
    </row>
    <row r="5394" spans="1:5" x14ac:dyDescent="0.25">
      <c r="A5394" s="5">
        <f>5386</f>
      </c>
      <c r="B5394" s="5" t="s">
        <v>4636</v>
      </c>
      <c r="C5394" s="5" t="s">
        <v>11</v>
      </c>
      <c r="D5394" s="5" t="s">
        <v>12</v>
      </c>
      <c r="E5394" s="5" t="s">
        <v>3962</v>
      </c>
    </row>
    <row r="5395" spans="1:5" x14ac:dyDescent="0.25">
      <c r="A5395" s="5">
        <f>5387</f>
      </c>
      <c r="B5395" s="5" t="s">
        <v>4637</v>
      </c>
      <c r="C5395" s="5" t="s">
        <v>11</v>
      </c>
      <c r="D5395" s="5" t="s">
        <v>12</v>
      </c>
      <c r="E5395" s="5" t="s">
        <v>3962</v>
      </c>
    </row>
    <row r="5396" spans="1:5" x14ac:dyDescent="0.25">
      <c r="A5396" s="5">
        <f>5388</f>
      </c>
      <c r="B5396" s="5" t="s">
        <v>4638</v>
      </c>
      <c r="C5396" s="5" t="s">
        <v>11</v>
      </c>
      <c r="D5396" s="5" t="s">
        <v>12</v>
      </c>
      <c r="E5396" s="5" t="s">
        <v>3962</v>
      </c>
    </row>
    <row r="5397" spans="1:5" x14ac:dyDescent="0.25">
      <c r="A5397" s="5">
        <f>5389</f>
      </c>
      <c r="B5397" s="5" t="s">
        <v>4639</v>
      </c>
      <c r="C5397" s="5" t="s">
        <v>11</v>
      </c>
      <c r="D5397" s="5" t="s">
        <v>12</v>
      </c>
      <c r="E5397" s="5" t="s">
        <v>3962</v>
      </c>
    </row>
    <row r="5398" spans="1:5" x14ac:dyDescent="0.25">
      <c r="A5398" s="5">
        <f>5390</f>
      </c>
      <c r="B5398" s="5" t="s">
        <v>4640</v>
      </c>
      <c r="C5398" s="5" t="s">
        <v>11</v>
      </c>
      <c r="D5398" s="5" t="s">
        <v>12</v>
      </c>
      <c r="E5398" s="5" t="s">
        <v>3962</v>
      </c>
    </row>
    <row r="5399" spans="1:5" x14ac:dyDescent="0.25">
      <c r="A5399" s="5">
        <f>5391</f>
      </c>
      <c r="B5399" s="5" t="s">
        <v>4641</v>
      </c>
      <c r="C5399" s="5" t="s">
        <v>11</v>
      </c>
      <c r="D5399" s="5" t="s">
        <v>12</v>
      </c>
      <c r="E5399" s="5" t="s">
        <v>3962</v>
      </c>
    </row>
    <row r="5400" spans="1:5" x14ac:dyDescent="0.25">
      <c r="A5400" s="5">
        <f>5392</f>
      </c>
      <c r="B5400" s="5" t="s">
        <v>4642</v>
      </c>
      <c r="C5400" s="5" t="s">
        <v>11</v>
      </c>
      <c r="D5400" s="5" t="s">
        <v>12</v>
      </c>
      <c r="E5400" s="5" t="s">
        <v>3962</v>
      </c>
    </row>
    <row r="5401" spans="1:5" x14ac:dyDescent="0.25">
      <c r="A5401" s="5">
        <f>5393</f>
      </c>
      <c r="B5401" s="5" t="s">
        <v>4643</v>
      </c>
      <c r="C5401" s="5" t="s">
        <v>11</v>
      </c>
      <c r="D5401" s="5" t="s">
        <v>12</v>
      </c>
      <c r="E5401" s="5" t="s">
        <v>3962</v>
      </c>
    </row>
    <row r="5402" spans="1:5" x14ac:dyDescent="0.25">
      <c r="A5402" s="5">
        <f>5394</f>
      </c>
      <c r="B5402" s="5" t="s">
        <v>4644</v>
      </c>
      <c r="C5402" s="5" t="s">
        <v>11</v>
      </c>
      <c r="D5402" s="5" t="s">
        <v>12</v>
      </c>
      <c r="E5402" s="5" t="s">
        <v>3962</v>
      </c>
    </row>
    <row r="5403" spans="1:5" x14ac:dyDescent="0.25">
      <c r="A5403" s="5">
        <f>5395</f>
      </c>
      <c r="B5403" s="5" t="s">
        <v>4645</v>
      </c>
      <c r="C5403" s="5" t="s">
        <v>11</v>
      </c>
      <c r="D5403" s="5" t="s">
        <v>12</v>
      </c>
      <c r="E5403" s="5" t="s">
        <v>3962</v>
      </c>
    </row>
    <row r="5404" spans="1:5" x14ac:dyDescent="0.25">
      <c r="A5404" s="5">
        <f>5396</f>
      </c>
      <c r="B5404" s="5" t="s">
        <v>4646</v>
      </c>
      <c r="C5404" s="5" t="s">
        <v>11</v>
      </c>
      <c r="D5404" s="5" t="s">
        <v>12</v>
      </c>
      <c r="E5404" s="5" t="s">
        <v>3962</v>
      </c>
    </row>
    <row r="5405" spans="1:5" x14ac:dyDescent="0.25">
      <c r="A5405" s="5">
        <f>5397</f>
      </c>
      <c r="B5405" s="5" t="s">
        <v>4647</v>
      </c>
      <c r="C5405" s="5" t="s">
        <v>11</v>
      </c>
      <c r="D5405" s="5" t="s">
        <v>12</v>
      </c>
      <c r="E5405" s="5" t="s">
        <v>3962</v>
      </c>
    </row>
    <row r="5406" spans="1:5" x14ac:dyDescent="0.25">
      <c r="A5406" s="5">
        <f>5398</f>
      </c>
      <c r="B5406" s="5" t="s">
        <v>4648</v>
      </c>
      <c r="C5406" s="5" t="s">
        <v>11</v>
      </c>
      <c r="D5406" s="5" t="s">
        <v>12</v>
      </c>
      <c r="E5406" s="5" t="s">
        <v>3962</v>
      </c>
    </row>
    <row r="5407" spans="1:5" x14ac:dyDescent="0.25">
      <c r="A5407" s="5">
        <f>5399</f>
      </c>
      <c r="B5407" s="5" t="s">
        <v>4649</v>
      </c>
      <c r="C5407" s="5" t="s">
        <v>11</v>
      </c>
      <c r="D5407" s="5" t="s">
        <v>12</v>
      </c>
      <c r="E5407" s="5" t="s">
        <v>3962</v>
      </c>
    </row>
    <row r="5408" spans="1:5" x14ac:dyDescent="0.25">
      <c r="A5408" s="5">
        <f>5400</f>
      </c>
      <c r="B5408" s="5" t="s">
        <v>4650</v>
      </c>
      <c r="C5408" s="5" t="s">
        <v>11</v>
      </c>
      <c r="D5408" s="5" t="s">
        <v>12</v>
      </c>
      <c r="E5408" s="5" t="s">
        <v>3962</v>
      </c>
    </row>
    <row r="5409" spans="1:5" x14ac:dyDescent="0.25">
      <c r="A5409" s="5">
        <f>5401</f>
      </c>
      <c r="B5409" s="5" t="s">
        <v>4651</v>
      </c>
      <c r="C5409" s="5" t="s">
        <v>11</v>
      </c>
      <c r="D5409" s="5" t="s">
        <v>12</v>
      </c>
      <c r="E5409" s="5" t="s">
        <v>3962</v>
      </c>
    </row>
    <row r="5410" spans="1:5" x14ac:dyDescent="0.25">
      <c r="A5410" s="5">
        <f>5402</f>
      </c>
      <c r="B5410" s="5" t="s">
        <v>4652</v>
      </c>
      <c r="C5410" s="5" t="s">
        <v>11</v>
      </c>
      <c r="D5410" s="5" t="s">
        <v>12</v>
      </c>
      <c r="E5410" s="5" t="s">
        <v>3962</v>
      </c>
    </row>
    <row r="5411" spans="1:5" x14ac:dyDescent="0.25">
      <c r="A5411" s="5">
        <f>5403</f>
      </c>
      <c r="B5411" s="5" t="s">
        <v>4653</v>
      </c>
      <c r="C5411" s="5" t="s">
        <v>11</v>
      </c>
      <c r="D5411" s="5" t="s">
        <v>12</v>
      </c>
      <c r="E5411" s="5" t="s">
        <v>3962</v>
      </c>
    </row>
    <row r="5412" spans="1:5" x14ac:dyDescent="0.25">
      <c r="A5412" s="5">
        <f>5404</f>
      </c>
      <c r="B5412" s="5" t="s">
        <v>4654</v>
      </c>
      <c r="C5412" s="5" t="s">
        <v>11</v>
      </c>
      <c r="D5412" s="5" t="s">
        <v>12</v>
      </c>
      <c r="E5412" s="5" t="s">
        <v>3962</v>
      </c>
    </row>
    <row r="5413" spans="1:5" x14ac:dyDescent="0.25">
      <c r="A5413" s="5">
        <f>5405</f>
      </c>
      <c r="B5413" s="5" t="s">
        <v>4655</v>
      </c>
      <c r="C5413" s="5" t="s">
        <v>11</v>
      </c>
      <c r="D5413" s="5" t="s">
        <v>12</v>
      </c>
      <c r="E5413" s="5" t="s">
        <v>3962</v>
      </c>
    </row>
    <row r="5414" spans="1:5" x14ac:dyDescent="0.25">
      <c r="A5414" s="5">
        <f>5406</f>
      </c>
      <c r="B5414" s="5" t="s">
        <v>4656</v>
      </c>
      <c r="C5414" s="5" t="s">
        <v>11</v>
      </c>
      <c r="D5414" s="5" t="s">
        <v>12</v>
      </c>
      <c r="E5414" s="5" t="s">
        <v>3962</v>
      </c>
    </row>
    <row r="5415" spans="1:5" x14ac:dyDescent="0.25">
      <c r="A5415" s="5">
        <f>5407</f>
      </c>
      <c r="B5415" s="5" t="s">
        <v>4657</v>
      </c>
      <c r="C5415" s="5" t="s">
        <v>11</v>
      </c>
      <c r="D5415" s="5" t="s">
        <v>12</v>
      </c>
      <c r="E5415" s="5" t="s">
        <v>3962</v>
      </c>
    </row>
    <row r="5416" spans="1:5" x14ac:dyDescent="0.25">
      <c r="A5416" s="5">
        <f>5408</f>
      </c>
      <c r="B5416" s="5" t="s">
        <v>4658</v>
      </c>
      <c r="C5416" s="5" t="s">
        <v>11</v>
      </c>
      <c r="D5416" s="5" t="s">
        <v>12</v>
      </c>
      <c r="E5416" s="5" t="s">
        <v>3962</v>
      </c>
    </row>
    <row r="5417" spans="1:5" x14ac:dyDescent="0.25">
      <c r="A5417" s="5">
        <f>5409</f>
      </c>
      <c r="B5417" s="5" t="s">
        <v>4659</v>
      </c>
      <c r="C5417" s="5" t="s">
        <v>11</v>
      </c>
      <c r="D5417" s="5" t="s">
        <v>12</v>
      </c>
      <c r="E5417" s="5" t="s">
        <v>3962</v>
      </c>
    </row>
    <row r="5418" spans="1:5" x14ac:dyDescent="0.25">
      <c r="A5418" s="5">
        <f>5410</f>
      </c>
      <c r="B5418" s="5" t="s">
        <v>4660</v>
      </c>
      <c r="C5418" s="5" t="s">
        <v>11</v>
      </c>
      <c r="D5418" s="5" t="s">
        <v>12</v>
      </c>
      <c r="E5418" s="5" t="s">
        <v>3962</v>
      </c>
    </row>
    <row r="5419" spans="1:5" x14ac:dyDescent="0.25">
      <c r="A5419" s="5">
        <f>5411</f>
      </c>
      <c r="B5419" s="5" t="s">
        <v>4661</v>
      </c>
      <c r="C5419" s="5" t="s">
        <v>11</v>
      </c>
      <c r="D5419" s="5" t="s">
        <v>12</v>
      </c>
      <c r="E5419" s="5" t="s">
        <v>3962</v>
      </c>
    </row>
    <row r="5420" spans="1:5" x14ac:dyDescent="0.25">
      <c r="A5420" s="5">
        <f>5412</f>
      </c>
      <c r="B5420" s="5" t="s">
        <v>4662</v>
      </c>
      <c r="C5420" s="5" t="s">
        <v>11</v>
      </c>
      <c r="D5420" s="5" t="s">
        <v>12</v>
      </c>
      <c r="E5420" s="5" t="s">
        <v>3962</v>
      </c>
    </row>
    <row r="5421" spans="1:5" x14ac:dyDescent="0.25">
      <c r="A5421" s="5">
        <f>5413</f>
      </c>
      <c r="B5421" s="5" t="s">
        <v>4663</v>
      </c>
      <c r="C5421" s="5" t="s">
        <v>11</v>
      </c>
      <c r="D5421" s="5" t="s">
        <v>12</v>
      </c>
      <c r="E5421" s="5" t="s">
        <v>3962</v>
      </c>
    </row>
    <row r="5422" spans="1:5" x14ac:dyDescent="0.25">
      <c r="A5422" s="5">
        <f>5414</f>
      </c>
      <c r="B5422" s="5" t="s">
        <v>4664</v>
      </c>
      <c r="C5422" s="5" t="s">
        <v>11</v>
      </c>
      <c r="D5422" s="5" t="s">
        <v>12</v>
      </c>
      <c r="E5422" s="5" t="s">
        <v>3962</v>
      </c>
    </row>
    <row r="5423" spans="1:5" x14ac:dyDescent="0.25">
      <c r="A5423" s="5">
        <f>5415</f>
      </c>
      <c r="B5423" s="5" t="s">
        <v>4665</v>
      </c>
      <c r="C5423" s="5" t="s">
        <v>11</v>
      </c>
      <c r="D5423" s="5" t="s">
        <v>12</v>
      </c>
      <c r="E5423" s="5" t="s">
        <v>3962</v>
      </c>
    </row>
    <row r="5424" spans="1:5" x14ac:dyDescent="0.25">
      <c r="A5424" s="5">
        <f>5416</f>
      </c>
      <c r="B5424" s="5" t="s">
        <v>4666</v>
      </c>
      <c r="C5424" s="5" t="s">
        <v>11</v>
      </c>
      <c r="D5424" s="5" t="s">
        <v>12</v>
      </c>
      <c r="E5424" s="5" t="s">
        <v>3962</v>
      </c>
    </row>
    <row r="5425" spans="1:5" x14ac:dyDescent="0.25">
      <c r="A5425" s="5">
        <f>5417</f>
      </c>
      <c r="B5425" s="5" t="s">
        <v>4667</v>
      </c>
      <c r="C5425" s="5" t="s">
        <v>11</v>
      </c>
      <c r="D5425" s="5" t="s">
        <v>12</v>
      </c>
      <c r="E5425" s="5" t="s">
        <v>3962</v>
      </c>
    </row>
    <row r="5426" spans="1:5" x14ac:dyDescent="0.25">
      <c r="A5426" s="5">
        <f>5418</f>
      </c>
      <c r="B5426" s="5" t="s">
        <v>4668</v>
      </c>
      <c r="C5426" s="5" t="s">
        <v>11</v>
      </c>
      <c r="D5426" s="5" t="s">
        <v>12</v>
      </c>
      <c r="E5426" s="5" t="s">
        <v>3962</v>
      </c>
    </row>
    <row r="5427" spans="1:5" x14ac:dyDescent="0.25">
      <c r="A5427" s="5">
        <f>5419</f>
      </c>
      <c r="B5427" s="5" t="s">
        <v>4669</v>
      </c>
      <c r="C5427" s="5" t="s">
        <v>11</v>
      </c>
      <c r="D5427" s="5" t="s">
        <v>12</v>
      </c>
      <c r="E5427" s="5" t="s">
        <v>3962</v>
      </c>
    </row>
    <row r="5428" spans="1:5" x14ac:dyDescent="0.25">
      <c r="A5428" s="5">
        <f>5420</f>
      </c>
      <c r="B5428" s="5" t="s">
        <v>4670</v>
      </c>
      <c r="C5428" s="5" t="s">
        <v>11</v>
      </c>
      <c r="D5428" s="5" t="s">
        <v>12</v>
      </c>
      <c r="E5428" s="5" t="s">
        <v>3962</v>
      </c>
    </row>
    <row r="5429" spans="1:5" x14ac:dyDescent="0.25">
      <c r="A5429" s="5">
        <f>5421</f>
      </c>
      <c r="B5429" s="5" t="s">
        <v>4671</v>
      </c>
      <c r="C5429" s="5" t="s">
        <v>11</v>
      </c>
      <c r="D5429" s="5" t="s">
        <v>12</v>
      </c>
      <c r="E5429" s="5" t="s">
        <v>3962</v>
      </c>
    </row>
    <row r="5430" spans="1:5" x14ac:dyDescent="0.25">
      <c r="A5430" s="5">
        <f>5422</f>
      </c>
      <c r="B5430" s="5" t="s">
        <v>4672</v>
      </c>
      <c r="C5430" s="5" t="s">
        <v>11</v>
      </c>
      <c r="D5430" s="5" t="s">
        <v>12</v>
      </c>
      <c r="E5430" s="5" t="s">
        <v>3962</v>
      </c>
    </row>
    <row r="5431" spans="1:5" x14ac:dyDescent="0.25">
      <c r="A5431" s="5">
        <f>5423</f>
      </c>
      <c r="B5431" s="5" t="s">
        <v>4673</v>
      </c>
      <c r="C5431" s="5" t="s">
        <v>11</v>
      </c>
      <c r="D5431" s="5" t="s">
        <v>12</v>
      </c>
      <c r="E5431" s="5" t="s">
        <v>3962</v>
      </c>
    </row>
    <row r="5432" spans="1:5" x14ac:dyDescent="0.25">
      <c r="A5432" s="5">
        <f>5424</f>
      </c>
      <c r="B5432" s="5" t="s">
        <v>4674</v>
      </c>
      <c r="C5432" s="5" t="s">
        <v>11</v>
      </c>
      <c r="D5432" s="5" t="s">
        <v>12</v>
      </c>
      <c r="E5432" s="5" t="s">
        <v>3962</v>
      </c>
    </row>
    <row r="5433" spans="1:5" x14ac:dyDescent="0.25">
      <c r="A5433" s="5">
        <f>5425</f>
      </c>
      <c r="B5433" s="5" t="s">
        <v>4675</v>
      </c>
      <c r="C5433" s="5" t="s">
        <v>11</v>
      </c>
      <c r="D5433" s="5" t="s">
        <v>12</v>
      </c>
      <c r="E5433" s="5" t="s">
        <v>3962</v>
      </c>
    </row>
    <row r="5434" spans="1:5" x14ac:dyDescent="0.25">
      <c r="A5434" s="5">
        <f>5426</f>
      </c>
      <c r="B5434" s="5" t="s">
        <v>4676</v>
      </c>
      <c r="C5434" s="5" t="s">
        <v>11</v>
      </c>
      <c r="D5434" s="5" t="s">
        <v>12</v>
      </c>
      <c r="E5434" s="5" t="s">
        <v>3962</v>
      </c>
    </row>
    <row r="5435" spans="1:5" x14ac:dyDescent="0.25">
      <c r="A5435" s="5">
        <f>5427</f>
      </c>
      <c r="B5435" s="5" t="s">
        <v>4677</v>
      </c>
      <c r="C5435" s="5" t="s">
        <v>11</v>
      </c>
      <c r="D5435" s="5" t="s">
        <v>12</v>
      </c>
      <c r="E5435" s="5" t="s">
        <v>3962</v>
      </c>
    </row>
    <row r="5436" spans="1:5" x14ac:dyDescent="0.25">
      <c r="A5436" s="5">
        <f>5428</f>
      </c>
      <c r="B5436" s="5" t="s">
        <v>4678</v>
      </c>
      <c r="C5436" s="5" t="s">
        <v>11</v>
      </c>
      <c r="D5436" s="5" t="s">
        <v>12</v>
      </c>
      <c r="E5436" s="5" t="s">
        <v>3962</v>
      </c>
    </row>
    <row r="5437" spans="1:5" x14ac:dyDescent="0.25">
      <c r="A5437" s="5">
        <f>5429</f>
      </c>
      <c r="B5437" s="5" t="s">
        <v>4679</v>
      </c>
      <c r="C5437" s="5" t="s">
        <v>11</v>
      </c>
      <c r="D5437" s="5" t="s">
        <v>12</v>
      </c>
      <c r="E5437" s="5" t="s">
        <v>3962</v>
      </c>
    </row>
    <row r="5438" spans="1:5" x14ac:dyDescent="0.25">
      <c r="A5438" s="5">
        <f>5430</f>
      </c>
      <c r="B5438" s="5" t="s">
        <v>4680</v>
      </c>
      <c r="C5438" s="5" t="s">
        <v>11</v>
      </c>
      <c r="D5438" s="5" t="s">
        <v>12</v>
      </c>
      <c r="E5438" s="5" t="s">
        <v>3962</v>
      </c>
    </row>
    <row r="5439" spans="1:5" x14ac:dyDescent="0.25">
      <c r="A5439" s="5">
        <f>5431</f>
      </c>
      <c r="B5439" s="5" t="s">
        <v>4681</v>
      </c>
      <c r="C5439" s="5" t="s">
        <v>11</v>
      </c>
      <c r="D5439" s="5" t="s">
        <v>12</v>
      </c>
      <c r="E5439" s="5" t="s">
        <v>3962</v>
      </c>
    </row>
    <row r="5440" spans="1:5" x14ac:dyDescent="0.25">
      <c r="A5440" s="5">
        <f>5432</f>
      </c>
      <c r="B5440" s="5" t="s">
        <v>4682</v>
      </c>
      <c r="C5440" s="5" t="s">
        <v>11</v>
      </c>
      <c r="D5440" s="5" t="s">
        <v>12</v>
      </c>
      <c r="E5440" s="5" t="s">
        <v>3962</v>
      </c>
    </row>
    <row r="5441" spans="1:5" x14ac:dyDescent="0.25">
      <c r="A5441" s="5">
        <f>5433</f>
      </c>
      <c r="B5441" s="5" t="s">
        <v>4683</v>
      </c>
      <c r="C5441" s="5" t="s">
        <v>11</v>
      </c>
      <c r="D5441" s="5" t="s">
        <v>12</v>
      </c>
      <c r="E5441" s="5" t="s">
        <v>3962</v>
      </c>
    </row>
    <row r="5442" spans="1:5" x14ac:dyDescent="0.25">
      <c r="A5442" s="5">
        <f>5434</f>
      </c>
      <c r="B5442" s="5" t="s">
        <v>4684</v>
      </c>
      <c r="C5442" s="5" t="s">
        <v>11</v>
      </c>
      <c r="D5442" s="5" t="s">
        <v>12</v>
      </c>
      <c r="E5442" s="5" t="s">
        <v>3962</v>
      </c>
    </row>
    <row r="5443" spans="1:5" x14ac:dyDescent="0.25">
      <c r="A5443" s="5">
        <f>5435</f>
      </c>
      <c r="B5443" s="5" t="s">
        <v>4685</v>
      </c>
      <c r="C5443" s="5" t="s">
        <v>11</v>
      </c>
      <c r="D5443" s="5" t="s">
        <v>12</v>
      </c>
      <c r="E5443" s="5" t="s">
        <v>3962</v>
      </c>
    </row>
    <row r="5444" spans="1:5" x14ac:dyDescent="0.25">
      <c r="A5444" s="5">
        <f>5436</f>
      </c>
      <c r="B5444" s="5" t="s">
        <v>4686</v>
      </c>
      <c r="C5444" s="5" t="s">
        <v>11</v>
      </c>
      <c r="D5444" s="5" t="s">
        <v>12</v>
      </c>
      <c r="E5444" s="5" t="s">
        <v>3962</v>
      </c>
    </row>
    <row r="5445" spans="1:5" x14ac:dyDescent="0.25">
      <c r="A5445" s="5">
        <f>5437</f>
      </c>
      <c r="B5445" s="5" t="s">
        <v>4687</v>
      </c>
      <c r="C5445" s="5" t="s">
        <v>11</v>
      </c>
      <c r="D5445" s="5" t="s">
        <v>12</v>
      </c>
      <c r="E5445" s="5" t="s">
        <v>3962</v>
      </c>
    </row>
    <row r="5446" spans="1:5" x14ac:dyDescent="0.25">
      <c r="A5446" s="5">
        <f>5438</f>
      </c>
      <c r="B5446" s="5" t="s">
        <v>4688</v>
      </c>
      <c r="C5446" s="5" t="s">
        <v>11</v>
      </c>
      <c r="D5446" s="5" t="s">
        <v>12</v>
      </c>
      <c r="E5446" s="5" t="s">
        <v>3962</v>
      </c>
    </row>
    <row r="5447" spans="1:5" x14ac:dyDescent="0.25">
      <c r="A5447" s="5">
        <f>5439</f>
      </c>
      <c r="B5447" s="5" t="s">
        <v>4689</v>
      </c>
      <c r="C5447" s="5" t="s">
        <v>11</v>
      </c>
      <c r="D5447" s="5" t="s">
        <v>12</v>
      </c>
      <c r="E5447" s="5" t="s">
        <v>3962</v>
      </c>
    </row>
    <row r="5448" spans="1:5" x14ac:dyDescent="0.25">
      <c r="A5448" s="5">
        <f>5440</f>
      </c>
      <c r="B5448" s="5" t="s">
        <v>4690</v>
      </c>
      <c r="C5448" s="5" t="s">
        <v>11</v>
      </c>
      <c r="D5448" s="5" t="s">
        <v>12</v>
      </c>
      <c r="E5448" s="5" t="s">
        <v>3962</v>
      </c>
    </row>
    <row r="5449" spans="1:5" x14ac:dyDescent="0.25">
      <c r="A5449" s="5">
        <f>5441</f>
      </c>
      <c r="B5449" s="5" t="s">
        <v>4691</v>
      </c>
      <c r="C5449" s="5" t="s">
        <v>11</v>
      </c>
      <c r="D5449" s="5" t="s">
        <v>12</v>
      </c>
      <c r="E5449" s="5" t="s">
        <v>3962</v>
      </c>
    </row>
    <row r="5450" spans="1:5" x14ac:dyDescent="0.25">
      <c r="A5450" s="5">
        <f>5442</f>
      </c>
      <c r="B5450" s="5" t="s">
        <v>4692</v>
      </c>
      <c r="C5450" s="5" t="s">
        <v>11</v>
      </c>
      <c r="D5450" s="5" t="s">
        <v>12</v>
      </c>
      <c r="E5450" s="5" t="s">
        <v>3962</v>
      </c>
    </row>
    <row r="5451" spans="1:5" x14ac:dyDescent="0.25">
      <c r="A5451" s="5">
        <f>5443</f>
      </c>
      <c r="B5451" s="5" t="s">
        <v>4693</v>
      </c>
      <c r="C5451" s="5" t="s">
        <v>11</v>
      </c>
      <c r="D5451" s="5" t="s">
        <v>12</v>
      </c>
      <c r="E5451" s="5" t="s">
        <v>3962</v>
      </c>
    </row>
    <row r="5452" spans="1:5" x14ac:dyDescent="0.25">
      <c r="A5452" s="5">
        <f>5444</f>
      </c>
      <c r="B5452" s="5" t="s">
        <v>4694</v>
      </c>
      <c r="C5452" s="5" t="s">
        <v>11</v>
      </c>
      <c r="D5452" s="5" t="s">
        <v>12</v>
      </c>
      <c r="E5452" s="5" t="s">
        <v>3962</v>
      </c>
    </row>
    <row r="5453" spans="1:5" x14ac:dyDescent="0.25">
      <c r="A5453" s="5">
        <f>5445</f>
      </c>
      <c r="B5453" s="5" t="s">
        <v>4695</v>
      </c>
      <c r="C5453" s="5" t="s">
        <v>11</v>
      </c>
      <c r="D5453" s="5" t="s">
        <v>12</v>
      </c>
      <c r="E5453" s="5" t="s">
        <v>3962</v>
      </c>
    </row>
    <row r="5454" spans="1:5" x14ac:dyDescent="0.25">
      <c r="A5454" s="5">
        <f>5446</f>
      </c>
      <c r="B5454" s="5" t="s">
        <v>4696</v>
      </c>
      <c r="C5454" s="5" t="s">
        <v>11</v>
      </c>
      <c r="D5454" s="5" t="s">
        <v>12</v>
      </c>
      <c r="E5454" s="5" t="s">
        <v>3962</v>
      </c>
    </row>
    <row r="5455" spans="1:5" x14ac:dyDescent="0.25">
      <c r="A5455" s="5">
        <f>5447</f>
      </c>
      <c r="B5455" s="5" t="s">
        <v>4697</v>
      </c>
      <c r="C5455" s="5" t="s">
        <v>11</v>
      </c>
      <c r="D5455" s="5" t="s">
        <v>12</v>
      </c>
      <c r="E5455" s="5" t="s">
        <v>3962</v>
      </c>
    </row>
    <row r="5456" spans="1:5" x14ac:dyDescent="0.25">
      <c r="A5456" s="5">
        <f>5448</f>
      </c>
      <c r="B5456" s="5" t="s">
        <v>4698</v>
      </c>
      <c r="C5456" s="5" t="s">
        <v>11</v>
      </c>
      <c r="D5456" s="5" t="s">
        <v>12</v>
      </c>
      <c r="E5456" s="5" t="s">
        <v>3962</v>
      </c>
    </row>
    <row r="5457" spans="1:5" x14ac:dyDescent="0.25">
      <c r="A5457" s="5">
        <f>5449</f>
      </c>
      <c r="B5457" s="5" t="s">
        <v>4699</v>
      </c>
      <c r="C5457" s="5" t="s">
        <v>11</v>
      </c>
      <c r="D5457" s="5" t="s">
        <v>12</v>
      </c>
      <c r="E5457" s="5" t="s">
        <v>3962</v>
      </c>
    </row>
    <row r="5458" spans="1:5" x14ac:dyDescent="0.25">
      <c r="A5458" s="5">
        <f>5450</f>
      </c>
      <c r="B5458" s="5" t="s">
        <v>4700</v>
      </c>
      <c r="C5458" s="5" t="s">
        <v>11</v>
      </c>
      <c r="D5458" s="5" t="s">
        <v>12</v>
      </c>
      <c r="E5458" s="5" t="s">
        <v>3962</v>
      </c>
    </row>
    <row r="5459" spans="1:5" x14ac:dyDescent="0.25">
      <c r="A5459" s="5">
        <f>5451</f>
      </c>
      <c r="B5459" s="5" t="s">
        <v>4701</v>
      </c>
      <c r="C5459" s="5" t="s">
        <v>11</v>
      </c>
      <c r="D5459" s="5" t="s">
        <v>12</v>
      </c>
      <c r="E5459" s="5" t="s">
        <v>3962</v>
      </c>
    </row>
    <row r="5460" spans="1:5" x14ac:dyDescent="0.25">
      <c r="A5460" s="5">
        <f>5452</f>
      </c>
      <c r="B5460" s="5" t="s">
        <v>4702</v>
      </c>
      <c r="C5460" s="5" t="s">
        <v>11</v>
      </c>
      <c r="D5460" s="5" t="s">
        <v>12</v>
      </c>
      <c r="E5460" s="5" t="s">
        <v>3962</v>
      </c>
    </row>
    <row r="5461" spans="1:5" x14ac:dyDescent="0.25">
      <c r="A5461" s="5">
        <f>5453</f>
      </c>
      <c r="B5461" s="5" t="s">
        <v>4703</v>
      </c>
      <c r="C5461" s="5" t="s">
        <v>11</v>
      </c>
      <c r="D5461" s="5" t="s">
        <v>12</v>
      </c>
      <c r="E5461" s="5" t="s">
        <v>3962</v>
      </c>
    </row>
    <row r="5462" spans="1:5" x14ac:dyDescent="0.25">
      <c r="A5462" s="5">
        <f>5454</f>
      </c>
      <c r="B5462" s="5" t="s">
        <v>4704</v>
      </c>
      <c r="C5462" s="5" t="s">
        <v>11</v>
      </c>
      <c r="D5462" s="5" t="s">
        <v>12</v>
      </c>
      <c r="E5462" s="5" t="s">
        <v>3962</v>
      </c>
    </row>
    <row r="5463" spans="1:5" x14ac:dyDescent="0.25">
      <c r="A5463" s="5">
        <f>5455</f>
      </c>
      <c r="B5463" s="5" t="s">
        <v>4705</v>
      </c>
      <c r="C5463" s="5" t="s">
        <v>11</v>
      </c>
      <c r="D5463" s="5" t="s">
        <v>12</v>
      </c>
      <c r="E5463" s="5" t="s">
        <v>3962</v>
      </c>
    </row>
    <row r="5464" spans="1:5" x14ac:dyDescent="0.25">
      <c r="A5464" s="5">
        <f>5456</f>
      </c>
      <c r="B5464" s="5" t="s">
        <v>4706</v>
      </c>
      <c r="C5464" s="5" t="s">
        <v>11</v>
      </c>
      <c r="D5464" s="5" t="s">
        <v>12</v>
      </c>
      <c r="E5464" s="5" t="s">
        <v>3962</v>
      </c>
    </row>
    <row r="5465" spans="1:5" x14ac:dyDescent="0.25">
      <c r="A5465" s="5">
        <f>5457</f>
      </c>
      <c r="B5465" s="5" t="s">
        <v>4707</v>
      </c>
      <c r="C5465" s="5" t="s">
        <v>11</v>
      </c>
      <c r="D5465" s="5" t="s">
        <v>12</v>
      </c>
      <c r="E5465" s="5" t="s">
        <v>3962</v>
      </c>
    </row>
    <row r="5466" spans="1:5" x14ac:dyDescent="0.25">
      <c r="A5466" s="5">
        <f>5458</f>
      </c>
      <c r="B5466" s="5" t="s">
        <v>4708</v>
      </c>
      <c r="C5466" s="5" t="s">
        <v>11</v>
      </c>
      <c r="D5466" s="5" t="s">
        <v>12</v>
      </c>
      <c r="E5466" s="5" t="s">
        <v>3962</v>
      </c>
    </row>
    <row r="5467" spans="1:5" x14ac:dyDescent="0.25">
      <c r="A5467" s="5">
        <f>5459</f>
      </c>
      <c r="B5467" s="5" t="s">
        <v>4709</v>
      </c>
      <c r="C5467" s="5" t="s">
        <v>11</v>
      </c>
      <c r="D5467" s="5" t="s">
        <v>12</v>
      </c>
      <c r="E5467" s="5" t="s">
        <v>3962</v>
      </c>
    </row>
    <row r="5468" spans="1:5" x14ac:dyDescent="0.25">
      <c r="A5468" s="5">
        <f>5460</f>
      </c>
      <c r="B5468" s="5" t="s">
        <v>4710</v>
      </c>
      <c r="C5468" s="5" t="s">
        <v>11</v>
      </c>
      <c r="D5468" s="5" t="s">
        <v>12</v>
      </c>
      <c r="E5468" s="5" t="s">
        <v>3962</v>
      </c>
    </row>
    <row r="5469" spans="1:5" x14ac:dyDescent="0.25">
      <c r="A5469" s="5">
        <f>5461</f>
      </c>
      <c r="B5469" s="5" t="s">
        <v>4711</v>
      </c>
      <c r="C5469" s="5" t="s">
        <v>11</v>
      </c>
      <c r="D5469" s="5" t="s">
        <v>12</v>
      </c>
      <c r="E5469" s="5" t="s">
        <v>3962</v>
      </c>
    </row>
    <row r="5470" spans="1:5" x14ac:dyDescent="0.25">
      <c r="A5470" s="5">
        <f>5462</f>
      </c>
      <c r="B5470" s="5" t="s">
        <v>4712</v>
      </c>
      <c r="C5470" s="5" t="s">
        <v>11</v>
      </c>
      <c r="D5470" s="5" t="s">
        <v>12</v>
      </c>
      <c r="E5470" s="5" t="s">
        <v>3962</v>
      </c>
    </row>
    <row r="5471" spans="1:5" x14ac:dyDescent="0.25">
      <c r="A5471" s="5">
        <f>5463</f>
      </c>
      <c r="B5471" s="5" t="s">
        <v>4713</v>
      </c>
      <c r="C5471" s="5" t="s">
        <v>11</v>
      </c>
      <c r="D5471" s="5" t="s">
        <v>12</v>
      </c>
      <c r="E5471" s="5" t="s">
        <v>3962</v>
      </c>
    </row>
    <row r="5472" spans="1:5" x14ac:dyDescent="0.25">
      <c r="A5472" s="5">
        <f>5464</f>
      </c>
      <c r="B5472" s="5" t="s">
        <v>4714</v>
      </c>
      <c r="C5472" s="5" t="s">
        <v>11</v>
      </c>
      <c r="D5472" s="5" t="s">
        <v>12</v>
      </c>
      <c r="E5472" s="5" t="s">
        <v>3962</v>
      </c>
    </row>
    <row r="5473" spans="1:5" x14ac:dyDescent="0.25">
      <c r="A5473" s="5">
        <f>5465</f>
      </c>
      <c r="B5473" s="5" t="s">
        <v>4715</v>
      </c>
      <c r="C5473" s="5" t="s">
        <v>11</v>
      </c>
      <c r="D5473" s="5" t="s">
        <v>12</v>
      </c>
      <c r="E5473" s="5" t="s">
        <v>3962</v>
      </c>
    </row>
    <row r="5474" spans="1:5" x14ac:dyDescent="0.25">
      <c r="A5474" s="5">
        <f>5466</f>
      </c>
      <c r="B5474" s="5" t="s">
        <v>4716</v>
      </c>
      <c r="C5474" s="5" t="s">
        <v>11</v>
      </c>
      <c r="D5474" s="5" t="s">
        <v>12</v>
      </c>
      <c r="E5474" s="5" t="s">
        <v>3962</v>
      </c>
    </row>
    <row r="5475" spans="1:5" x14ac:dyDescent="0.25">
      <c r="A5475" s="5">
        <f>5467</f>
      </c>
      <c r="B5475" s="5" t="s">
        <v>4717</v>
      </c>
      <c r="C5475" s="5" t="s">
        <v>11</v>
      </c>
      <c r="D5475" s="5" t="s">
        <v>12</v>
      </c>
      <c r="E5475" s="5" t="s">
        <v>3962</v>
      </c>
    </row>
    <row r="5476" spans="1:5" x14ac:dyDescent="0.25">
      <c r="A5476" s="5">
        <f>5468</f>
      </c>
      <c r="B5476" s="5" t="s">
        <v>4718</v>
      </c>
      <c r="C5476" s="5" t="s">
        <v>11</v>
      </c>
      <c r="D5476" s="5" t="s">
        <v>12</v>
      </c>
      <c r="E5476" s="5" t="s">
        <v>3962</v>
      </c>
    </row>
    <row r="5477" spans="1:5" x14ac:dyDescent="0.25">
      <c r="A5477" s="5">
        <f>5469</f>
      </c>
      <c r="B5477" s="5" t="s">
        <v>4719</v>
      </c>
      <c r="C5477" s="5" t="s">
        <v>11</v>
      </c>
      <c r="D5477" s="5" t="s">
        <v>12</v>
      </c>
      <c r="E5477" s="5" t="s">
        <v>3962</v>
      </c>
    </row>
    <row r="5478" spans="1:5" x14ac:dyDescent="0.25">
      <c r="A5478" s="5">
        <f>5470</f>
      </c>
      <c r="B5478" s="5" t="s">
        <v>4720</v>
      </c>
      <c r="C5478" s="5" t="s">
        <v>11</v>
      </c>
      <c r="D5478" s="5" t="s">
        <v>12</v>
      </c>
      <c r="E5478" s="5" t="s">
        <v>3962</v>
      </c>
    </row>
    <row r="5479" spans="1:5" x14ac:dyDescent="0.25">
      <c r="A5479" s="5">
        <f>5471</f>
      </c>
      <c r="B5479" s="5" t="s">
        <v>4721</v>
      </c>
      <c r="C5479" s="5" t="s">
        <v>11</v>
      </c>
      <c r="D5479" s="5" t="s">
        <v>12</v>
      </c>
      <c r="E5479" s="5" t="s">
        <v>3962</v>
      </c>
    </row>
    <row r="5480" spans="1:5" x14ac:dyDescent="0.25">
      <c r="A5480" s="5">
        <f>5472</f>
      </c>
      <c r="B5480" s="5" t="s">
        <v>4722</v>
      </c>
      <c r="C5480" s="5" t="s">
        <v>11</v>
      </c>
      <c r="D5480" s="5" t="s">
        <v>12</v>
      </c>
      <c r="E5480" s="5" t="s">
        <v>3962</v>
      </c>
    </row>
    <row r="5481" spans="1:5" x14ac:dyDescent="0.25">
      <c r="A5481" s="5">
        <f>5473</f>
      </c>
      <c r="B5481" s="5" t="s">
        <v>4723</v>
      </c>
      <c r="C5481" s="5" t="s">
        <v>11</v>
      </c>
      <c r="D5481" s="5" t="s">
        <v>12</v>
      </c>
      <c r="E5481" s="5" t="s">
        <v>3962</v>
      </c>
    </row>
    <row r="5482" spans="1:5" x14ac:dyDescent="0.25">
      <c r="A5482" s="5">
        <f>5474</f>
      </c>
      <c r="B5482" s="5" t="s">
        <v>4724</v>
      </c>
      <c r="C5482" s="5" t="s">
        <v>11</v>
      </c>
      <c r="D5482" s="5" t="s">
        <v>12</v>
      </c>
      <c r="E5482" s="5" t="s">
        <v>3962</v>
      </c>
    </row>
    <row r="5483" spans="1:5" x14ac:dyDescent="0.25">
      <c r="A5483" s="5">
        <f>5475</f>
      </c>
      <c r="B5483" s="5" t="s">
        <v>4725</v>
      </c>
      <c r="C5483" s="5" t="s">
        <v>11</v>
      </c>
      <c r="D5483" s="5" t="s">
        <v>12</v>
      </c>
      <c r="E5483" s="5" t="s">
        <v>3962</v>
      </c>
    </row>
    <row r="5484" spans="1:5" x14ac:dyDescent="0.25">
      <c r="A5484" s="5">
        <f>5476</f>
      </c>
      <c r="B5484" s="5" t="s">
        <v>4726</v>
      </c>
      <c r="C5484" s="5" t="s">
        <v>11</v>
      </c>
      <c r="D5484" s="5" t="s">
        <v>12</v>
      </c>
      <c r="E5484" s="5" t="s">
        <v>3962</v>
      </c>
    </row>
    <row r="5485" spans="1:5" x14ac:dyDescent="0.25">
      <c r="A5485" s="5">
        <f>5477</f>
      </c>
      <c r="B5485" s="5" t="s">
        <v>4727</v>
      </c>
      <c r="C5485" s="5" t="s">
        <v>11</v>
      </c>
      <c r="D5485" s="5" t="s">
        <v>12</v>
      </c>
      <c r="E5485" s="5" t="s">
        <v>3962</v>
      </c>
    </row>
    <row r="5486" spans="1:5" x14ac:dyDescent="0.25">
      <c r="A5486" s="5">
        <f>5478</f>
      </c>
      <c r="B5486" s="5" t="s">
        <v>4728</v>
      </c>
      <c r="C5486" s="5" t="s">
        <v>11</v>
      </c>
      <c r="D5486" s="5" t="s">
        <v>12</v>
      </c>
      <c r="E5486" s="5" t="s">
        <v>3962</v>
      </c>
    </row>
    <row r="5487" spans="1:5" x14ac:dyDescent="0.25">
      <c r="A5487" s="5">
        <f>5479</f>
      </c>
      <c r="B5487" s="5" t="s">
        <v>4729</v>
      </c>
      <c r="C5487" s="5" t="s">
        <v>11</v>
      </c>
      <c r="D5487" s="5" t="s">
        <v>12</v>
      </c>
      <c r="E5487" s="5" t="s">
        <v>3962</v>
      </c>
    </row>
    <row r="5488" spans="1:5" x14ac:dyDescent="0.25">
      <c r="A5488" s="5">
        <f>5480</f>
      </c>
      <c r="B5488" s="5" t="s">
        <v>4730</v>
      </c>
      <c r="C5488" s="5" t="s">
        <v>11</v>
      </c>
      <c r="D5488" s="5" t="s">
        <v>12</v>
      </c>
      <c r="E5488" s="5" t="s">
        <v>3962</v>
      </c>
    </row>
    <row r="5489" spans="1:5" x14ac:dyDescent="0.25">
      <c r="A5489" s="5">
        <f>5481</f>
      </c>
      <c r="B5489" s="5" t="s">
        <v>4731</v>
      </c>
      <c r="C5489" s="5" t="s">
        <v>11</v>
      </c>
      <c r="D5489" s="5" t="s">
        <v>12</v>
      </c>
      <c r="E5489" s="5" t="s">
        <v>3962</v>
      </c>
    </row>
    <row r="5490" spans="1:5" x14ac:dyDescent="0.25">
      <c r="A5490" s="5">
        <f>5482</f>
      </c>
      <c r="B5490" s="5" t="s">
        <v>4732</v>
      </c>
      <c r="C5490" s="5" t="s">
        <v>11</v>
      </c>
      <c r="D5490" s="5" t="s">
        <v>12</v>
      </c>
      <c r="E5490" s="5" t="s">
        <v>3962</v>
      </c>
    </row>
    <row r="5491" spans="1:5" x14ac:dyDescent="0.25">
      <c r="A5491" s="5">
        <f>5483</f>
      </c>
      <c r="B5491" s="5" t="s">
        <v>4733</v>
      </c>
      <c r="C5491" s="5" t="s">
        <v>11</v>
      </c>
      <c r="D5491" s="5" t="s">
        <v>12</v>
      </c>
      <c r="E5491" s="5" t="s">
        <v>3962</v>
      </c>
    </row>
    <row r="5492" spans="1:5" x14ac:dyDescent="0.25">
      <c r="A5492" s="5">
        <f>5484</f>
      </c>
      <c r="B5492" s="5" t="s">
        <v>4734</v>
      </c>
      <c r="C5492" s="5" t="s">
        <v>11</v>
      </c>
      <c r="D5492" s="5" t="s">
        <v>12</v>
      </c>
      <c r="E5492" s="5" t="s">
        <v>3962</v>
      </c>
    </row>
    <row r="5493" spans="1:5" x14ac:dyDescent="0.25">
      <c r="A5493" s="5">
        <f>5485</f>
      </c>
      <c r="B5493" s="5" t="s">
        <v>4735</v>
      </c>
      <c r="C5493" s="5" t="s">
        <v>11</v>
      </c>
      <c r="D5493" s="5" t="s">
        <v>12</v>
      </c>
      <c r="E5493" s="5" t="s">
        <v>3962</v>
      </c>
    </row>
    <row r="5494" spans="1:5" x14ac:dyDescent="0.25">
      <c r="A5494" s="5">
        <f>5486</f>
      </c>
      <c r="B5494" s="5" t="s">
        <v>4736</v>
      </c>
      <c r="C5494" s="5" t="s">
        <v>11</v>
      </c>
      <c r="D5494" s="5" t="s">
        <v>12</v>
      </c>
      <c r="E5494" s="5" t="s">
        <v>3962</v>
      </c>
    </row>
    <row r="5495" spans="1:5" x14ac:dyDescent="0.25">
      <c r="A5495" s="5">
        <f>5487</f>
      </c>
      <c r="B5495" s="5" t="s">
        <v>4737</v>
      </c>
      <c r="C5495" s="5" t="s">
        <v>11</v>
      </c>
      <c r="D5495" s="5" t="s">
        <v>12</v>
      </c>
      <c r="E5495" s="5" t="s">
        <v>3962</v>
      </c>
    </row>
    <row r="5496" spans="1:5" x14ac:dyDescent="0.25">
      <c r="A5496" s="5">
        <f>5488</f>
      </c>
      <c r="B5496" s="5" t="s">
        <v>4738</v>
      </c>
      <c r="C5496" s="5" t="s">
        <v>11</v>
      </c>
      <c r="D5496" s="5" t="s">
        <v>12</v>
      </c>
      <c r="E5496" s="5" t="s">
        <v>3962</v>
      </c>
    </row>
    <row r="5497" spans="1:5" x14ac:dyDescent="0.25">
      <c r="A5497" s="5">
        <f>5489</f>
      </c>
      <c r="B5497" s="5" t="s">
        <v>4739</v>
      </c>
      <c r="C5497" s="5" t="s">
        <v>11</v>
      </c>
      <c r="D5497" s="5" t="s">
        <v>12</v>
      </c>
      <c r="E5497" s="5" t="s">
        <v>3962</v>
      </c>
    </row>
    <row r="5498" spans="1:5" x14ac:dyDescent="0.25">
      <c r="A5498" s="5">
        <f>5490</f>
      </c>
      <c r="B5498" s="5" t="s">
        <v>4740</v>
      </c>
      <c r="C5498" s="5" t="s">
        <v>11</v>
      </c>
      <c r="D5498" s="5" t="s">
        <v>12</v>
      </c>
      <c r="E5498" s="5" t="s">
        <v>3962</v>
      </c>
    </row>
    <row r="5499" spans="1:5" x14ac:dyDescent="0.25">
      <c r="A5499" s="5">
        <f>5491</f>
      </c>
      <c r="B5499" s="5" t="s">
        <v>4741</v>
      </c>
      <c r="C5499" s="5" t="s">
        <v>11</v>
      </c>
      <c r="D5499" s="5" t="s">
        <v>12</v>
      </c>
      <c r="E5499" s="5" t="s">
        <v>3962</v>
      </c>
    </row>
    <row r="5500" spans="1:5" x14ac:dyDescent="0.25">
      <c r="A5500" s="5">
        <f>5492</f>
      </c>
      <c r="B5500" s="5" t="s">
        <v>4742</v>
      </c>
      <c r="C5500" s="5" t="s">
        <v>11</v>
      </c>
      <c r="D5500" s="5" t="s">
        <v>12</v>
      </c>
      <c r="E5500" s="5" t="s">
        <v>3962</v>
      </c>
    </row>
    <row r="5501" spans="1:5" x14ac:dyDescent="0.25">
      <c r="A5501" s="5">
        <f>5493</f>
      </c>
      <c r="B5501" s="5" t="s">
        <v>4743</v>
      </c>
      <c r="C5501" s="5" t="s">
        <v>11</v>
      </c>
      <c r="D5501" s="5" t="s">
        <v>12</v>
      </c>
      <c r="E5501" s="5" t="s">
        <v>3962</v>
      </c>
    </row>
    <row r="5502" spans="1:5" x14ac:dyDescent="0.25">
      <c r="A5502" s="5">
        <f>5494</f>
      </c>
      <c r="B5502" s="5" t="s">
        <v>4744</v>
      </c>
      <c r="C5502" s="5" t="s">
        <v>11</v>
      </c>
      <c r="D5502" s="5" t="s">
        <v>12</v>
      </c>
      <c r="E5502" s="5" t="s">
        <v>3962</v>
      </c>
    </row>
    <row r="5503" spans="1:5" x14ac:dyDescent="0.25">
      <c r="A5503" s="5">
        <f>5495</f>
      </c>
      <c r="B5503" s="5" t="s">
        <v>4745</v>
      </c>
      <c r="C5503" s="5" t="s">
        <v>11</v>
      </c>
      <c r="D5503" s="5" t="s">
        <v>12</v>
      </c>
      <c r="E5503" s="5" t="s">
        <v>3962</v>
      </c>
    </row>
    <row r="5504" spans="1:5" x14ac:dyDescent="0.25">
      <c r="A5504" s="5">
        <f>5496</f>
      </c>
      <c r="B5504" s="5" t="s">
        <v>4746</v>
      </c>
      <c r="C5504" s="5" t="s">
        <v>11</v>
      </c>
      <c r="D5504" s="5" t="s">
        <v>12</v>
      </c>
      <c r="E5504" s="5" t="s">
        <v>3962</v>
      </c>
    </row>
    <row r="5505" spans="1:5" x14ac:dyDescent="0.25">
      <c r="A5505" s="5">
        <f>5497</f>
      </c>
      <c r="B5505" s="5" t="s">
        <v>4747</v>
      </c>
      <c r="C5505" s="5" t="s">
        <v>11</v>
      </c>
      <c r="D5505" s="5" t="s">
        <v>12</v>
      </c>
      <c r="E5505" s="5" t="s">
        <v>3962</v>
      </c>
    </row>
    <row r="5506" spans="1:5" x14ac:dyDescent="0.25">
      <c r="A5506" s="5">
        <f>5498</f>
      </c>
      <c r="B5506" s="5" t="s">
        <v>4748</v>
      </c>
      <c r="C5506" s="5" t="s">
        <v>11</v>
      </c>
      <c r="D5506" s="5" t="s">
        <v>12</v>
      </c>
      <c r="E5506" s="5" t="s">
        <v>3962</v>
      </c>
    </row>
    <row r="5507" spans="1:5" x14ac:dyDescent="0.25">
      <c r="A5507" s="5">
        <f>5499</f>
      </c>
      <c r="B5507" s="5" t="s">
        <v>4749</v>
      </c>
      <c r="C5507" s="5" t="s">
        <v>11</v>
      </c>
      <c r="D5507" s="5" t="s">
        <v>12</v>
      </c>
      <c r="E5507" s="5" t="s">
        <v>3962</v>
      </c>
    </row>
    <row r="5508" spans="1:5" x14ac:dyDescent="0.25">
      <c r="A5508" s="5">
        <f>5500</f>
      </c>
      <c r="B5508" s="5" t="s">
        <v>4750</v>
      </c>
      <c r="C5508" s="5" t="s">
        <v>11</v>
      </c>
      <c r="D5508" s="5" t="s">
        <v>12</v>
      </c>
      <c r="E5508" s="5" t="s">
        <v>3962</v>
      </c>
    </row>
    <row r="5509" spans="1:5" x14ac:dyDescent="0.25">
      <c r="A5509" s="5">
        <f>5501</f>
      </c>
      <c r="B5509" s="5" t="s">
        <v>4751</v>
      </c>
      <c r="C5509" s="5" t="s">
        <v>11</v>
      </c>
      <c r="D5509" s="5" t="s">
        <v>12</v>
      </c>
      <c r="E5509" s="5" t="s">
        <v>3962</v>
      </c>
    </row>
    <row r="5510" spans="1:5" x14ac:dyDescent="0.25">
      <c r="A5510" s="5">
        <f>5502</f>
      </c>
      <c r="B5510" s="5" t="s">
        <v>4752</v>
      </c>
      <c r="C5510" s="5" t="s">
        <v>11</v>
      </c>
      <c r="D5510" s="5" t="s">
        <v>12</v>
      </c>
      <c r="E5510" s="5" t="s">
        <v>3962</v>
      </c>
    </row>
    <row r="5511" spans="1:5" x14ac:dyDescent="0.25">
      <c r="A5511" s="5">
        <f>5503</f>
      </c>
      <c r="B5511" s="5" t="s">
        <v>4753</v>
      </c>
      <c r="C5511" s="5" t="s">
        <v>11</v>
      </c>
      <c r="D5511" s="5" t="s">
        <v>12</v>
      </c>
      <c r="E5511" s="5" t="s">
        <v>3962</v>
      </c>
    </row>
    <row r="5512" spans="1:5" x14ac:dyDescent="0.25">
      <c r="A5512" s="5">
        <f>5504</f>
      </c>
      <c r="B5512" s="5" t="s">
        <v>4754</v>
      </c>
      <c r="C5512" s="5" t="s">
        <v>11</v>
      </c>
      <c r="D5512" s="5" t="s">
        <v>12</v>
      </c>
      <c r="E5512" s="5" t="s">
        <v>3962</v>
      </c>
    </row>
    <row r="5513" spans="1:5" x14ac:dyDescent="0.25">
      <c r="A5513" s="5">
        <f>5505</f>
      </c>
      <c r="B5513" s="5" t="s">
        <v>4755</v>
      </c>
      <c r="C5513" s="5" t="s">
        <v>11</v>
      </c>
      <c r="D5513" s="5" t="s">
        <v>12</v>
      </c>
      <c r="E5513" s="5" t="s">
        <v>3962</v>
      </c>
    </row>
    <row r="5514" spans="1:5" x14ac:dyDescent="0.25">
      <c r="A5514" s="5">
        <f>5506</f>
      </c>
      <c r="B5514" s="5" t="s">
        <v>4756</v>
      </c>
      <c r="C5514" s="5" t="s">
        <v>11</v>
      </c>
      <c r="D5514" s="5" t="s">
        <v>12</v>
      </c>
      <c r="E5514" s="5" t="s">
        <v>3962</v>
      </c>
    </row>
    <row r="5515" spans="1:5" x14ac:dyDescent="0.25">
      <c r="A5515" s="5">
        <f>5507</f>
      </c>
      <c r="B5515" s="5" t="s">
        <v>4757</v>
      </c>
      <c r="C5515" s="5" t="s">
        <v>11</v>
      </c>
      <c r="D5515" s="5" t="s">
        <v>12</v>
      </c>
      <c r="E5515" s="5" t="s">
        <v>3962</v>
      </c>
    </row>
    <row r="5516" spans="1:5" x14ac:dyDescent="0.25">
      <c r="A5516" s="5">
        <f>5508</f>
      </c>
      <c r="B5516" s="5" t="s">
        <v>4758</v>
      </c>
      <c r="C5516" s="5" t="s">
        <v>11</v>
      </c>
      <c r="D5516" s="5" t="s">
        <v>12</v>
      </c>
      <c r="E5516" s="5" t="s">
        <v>3962</v>
      </c>
    </row>
    <row r="5517" spans="1:5" x14ac:dyDescent="0.25">
      <c r="A5517" s="5">
        <f>5509</f>
      </c>
      <c r="B5517" s="5" t="s">
        <v>4759</v>
      </c>
      <c r="C5517" s="5" t="s">
        <v>11</v>
      </c>
      <c r="D5517" s="5" t="s">
        <v>12</v>
      </c>
      <c r="E5517" s="5" t="s">
        <v>3962</v>
      </c>
    </row>
    <row r="5518" spans="1:5" x14ac:dyDescent="0.25">
      <c r="A5518" s="5">
        <f>5510</f>
      </c>
      <c r="B5518" s="5" t="s">
        <v>4760</v>
      </c>
      <c r="C5518" s="5" t="s">
        <v>11</v>
      </c>
      <c r="D5518" s="5" t="s">
        <v>12</v>
      </c>
      <c r="E5518" s="5" t="s">
        <v>3962</v>
      </c>
    </row>
    <row r="5519" spans="1:5" x14ac:dyDescent="0.25">
      <c r="A5519" s="5">
        <f>5511</f>
      </c>
      <c r="B5519" s="5" t="s">
        <v>4761</v>
      </c>
      <c r="C5519" s="5" t="s">
        <v>11</v>
      </c>
      <c r="D5519" s="5" t="s">
        <v>12</v>
      </c>
      <c r="E5519" s="5" t="s">
        <v>3962</v>
      </c>
    </row>
    <row r="5520" spans="1:5" x14ac:dyDescent="0.25">
      <c r="A5520" s="5">
        <f>5512</f>
      </c>
      <c r="B5520" s="5" t="s">
        <v>4762</v>
      </c>
      <c r="C5520" s="5" t="s">
        <v>11</v>
      </c>
      <c r="D5520" s="5" t="s">
        <v>12</v>
      </c>
      <c r="E5520" s="5" t="s">
        <v>3962</v>
      </c>
    </row>
    <row r="5521" spans="1:5" x14ac:dyDescent="0.25">
      <c r="A5521" s="5">
        <f>5513</f>
      </c>
      <c r="B5521" s="5" t="s">
        <v>4763</v>
      </c>
      <c r="C5521" s="5" t="s">
        <v>11</v>
      </c>
      <c r="D5521" s="5" t="s">
        <v>12</v>
      </c>
      <c r="E5521" s="5" t="s">
        <v>3962</v>
      </c>
    </row>
    <row r="5522" spans="1:5" x14ac:dyDescent="0.25">
      <c r="A5522" s="5">
        <f>5514</f>
      </c>
      <c r="B5522" s="5" t="s">
        <v>4764</v>
      </c>
      <c r="C5522" s="5" t="s">
        <v>11</v>
      </c>
      <c r="D5522" s="5" t="s">
        <v>12</v>
      </c>
      <c r="E5522" s="5" t="s">
        <v>3962</v>
      </c>
    </row>
    <row r="5523" spans="1:5" x14ac:dyDescent="0.25">
      <c r="A5523" s="5">
        <f>5515</f>
      </c>
      <c r="B5523" s="5" t="s">
        <v>4765</v>
      </c>
      <c r="C5523" s="5" t="s">
        <v>11</v>
      </c>
      <c r="D5523" s="5" t="s">
        <v>12</v>
      </c>
      <c r="E5523" s="5" t="s">
        <v>3962</v>
      </c>
    </row>
    <row r="5524" spans="1:5" x14ac:dyDescent="0.25">
      <c r="A5524" s="5">
        <f>5516</f>
      </c>
      <c r="B5524" s="5" t="s">
        <v>4766</v>
      </c>
      <c r="C5524" s="5" t="s">
        <v>11</v>
      </c>
      <c r="D5524" s="5" t="s">
        <v>12</v>
      </c>
      <c r="E5524" s="5" t="s">
        <v>3962</v>
      </c>
    </row>
    <row r="5525" spans="1:5" x14ac:dyDescent="0.25">
      <c r="A5525" s="5">
        <f>5517</f>
      </c>
      <c r="B5525" s="5" t="s">
        <v>4767</v>
      </c>
      <c r="C5525" s="5" t="s">
        <v>11</v>
      </c>
      <c r="D5525" s="5" t="s">
        <v>12</v>
      </c>
      <c r="E5525" s="5" t="s">
        <v>3962</v>
      </c>
    </row>
    <row r="5526" spans="1:5" x14ac:dyDescent="0.25">
      <c r="A5526" s="5">
        <f>5518</f>
      </c>
      <c r="B5526" s="5" t="s">
        <v>4768</v>
      </c>
      <c r="C5526" s="5" t="s">
        <v>11</v>
      </c>
      <c r="D5526" s="5" t="s">
        <v>12</v>
      </c>
      <c r="E5526" s="5" t="s">
        <v>3962</v>
      </c>
    </row>
    <row r="5527" spans="1:5" x14ac:dyDescent="0.25">
      <c r="A5527" s="5">
        <f>5519</f>
      </c>
      <c r="B5527" s="5" t="s">
        <v>4769</v>
      </c>
      <c r="C5527" s="5" t="s">
        <v>11</v>
      </c>
      <c r="D5527" s="5" t="s">
        <v>12</v>
      </c>
      <c r="E5527" s="5" t="s">
        <v>3962</v>
      </c>
    </row>
    <row r="5528" spans="1:5" x14ac:dyDescent="0.25">
      <c r="A5528" s="5">
        <f>5520</f>
      </c>
      <c r="B5528" s="5" t="s">
        <v>4770</v>
      </c>
      <c r="C5528" s="5" t="s">
        <v>11</v>
      </c>
      <c r="D5528" s="5" t="s">
        <v>12</v>
      </c>
      <c r="E5528" s="5" t="s">
        <v>3962</v>
      </c>
    </row>
    <row r="5529" spans="1:5" x14ac:dyDescent="0.25">
      <c r="A5529" s="5">
        <f>5521</f>
      </c>
      <c r="B5529" s="5" t="s">
        <v>4771</v>
      </c>
      <c r="C5529" s="5" t="s">
        <v>11</v>
      </c>
      <c r="D5529" s="5" t="s">
        <v>12</v>
      </c>
      <c r="E5529" s="5" t="s">
        <v>3962</v>
      </c>
    </row>
    <row r="5530" spans="1:5" x14ac:dyDescent="0.25">
      <c r="A5530" s="5">
        <f>5522</f>
      </c>
      <c r="B5530" s="5" t="s">
        <v>4772</v>
      </c>
      <c r="C5530" s="5" t="s">
        <v>11</v>
      </c>
      <c r="D5530" s="5" t="s">
        <v>12</v>
      </c>
      <c r="E5530" s="5" t="s">
        <v>3962</v>
      </c>
    </row>
    <row r="5531" spans="1:5" x14ac:dyDescent="0.25">
      <c r="A5531" s="5">
        <f>5523</f>
      </c>
      <c r="B5531" s="5" t="s">
        <v>4773</v>
      </c>
      <c r="C5531" s="5" t="s">
        <v>11</v>
      </c>
      <c r="D5531" s="5" t="s">
        <v>12</v>
      </c>
      <c r="E5531" s="5" t="s">
        <v>3962</v>
      </c>
    </row>
    <row r="5532" spans="1:5" x14ac:dyDescent="0.25">
      <c r="A5532" s="5">
        <f>5524</f>
      </c>
      <c r="B5532" s="5" t="s">
        <v>4774</v>
      </c>
      <c r="C5532" s="5" t="s">
        <v>11</v>
      </c>
      <c r="D5532" s="5" t="s">
        <v>12</v>
      </c>
      <c r="E5532" s="5" t="s">
        <v>3962</v>
      </c>
    </row>
    <row r="5533" spans="1:5" x14ac:dyDescent="0.25">
      <c r="A5533" s="5">
        <f>5525</f>
      </c>
      <c r="B5533" s="5" t="s">
        <v>4775</v>
      </c>
      <c r="C5533" s="5" t="s">
        <v>11</v>
      </c>
      <c r="D5533" s="5" t="s">
        <v>12</v>
      </c>
      <c r="E5533" s="5" t="s">
        <v>3962</v>
      </c>
    </row>
    <row r="5534" spans="1:5" x14ac:dyDescent="0.25">
      <c r="A5534" s="5">
        <f>5526</f>
      </c>
      <c r="B5534" s="5" t="s">
        <v>4776</v>
      </c>
      <c r="C5534" s="5" t="s">
        <v>11</v>
      </c>
      <c r="D5534" s="5" t="s">
        <v>12</v>
      </c>
      <c r="E5534" s="5" t="s">
        <v>3962</v>
      </c>
    </row>
    <row r="5535" spans="1:5" x14ac:dyDescent="0.25">
      <c r="A5535" s="5">
        <f>5527</f>
      </c>
      <c r="B5535" s="5" t="s">
        <v>4777</v>
      </c>
      <c r="C5535" s="5" t="s">
        <v>11</v>
      </c>
      <c r="D5535" s="5" t="s">
        <v>12</v>
      </c>
      <c r="E5535" s="5" t="s">
        <v>3962</v>
      </c>
    </row>
    <row r="5536" spans="1:5" x14ac:dyDescent="0.25">
      <c r="A5536" s="5">
        <f>5528</f>
      </c>
      <c r="B5536" s="5" t="s">
        <v>4778</v>
      </c>
      <c r="C5536" s="5" t="s">
        <v>11</v>
      </c>
      <c r="D5536" s="5" t="s">
        <v>12</v>
      </c>
      <c r="E5536" s="5" t="s">
        <v>3962</v>
      </c>
    </row>
    <row r="5537" spans="1:5" x14ac:dyDescent="0.25">
      <c r="A5537" s="5">
        <f>5529</f>
      </c>
      <c r="B5537" s="5" t="s">
        <v>4779</v>
      </c>
      <c r="C5537" s="5" t="s">
        <v>11</v>
      </c>
      <c r="D5537" s="5" t="s">
        <v>12</v>
      </c>
      <c r="E5537" s="5" t="s">
        <v>3962</v>
      </c>
    </row>
    <row r="5538" spans="1:5" x14ac:dyDescent="0.25">
      <c r="A5538" s="5">
        <f>5530</f>
      </c>
      <c r="B5538" s="5" t="s">
        <v>4780</v>
      </c>
      <c r="C5538" s="5" t="s">
        <v>11</v>
      </c>
      <c r="D5538" s="5" t="s">
        <v>12</v>
      </c>
      <c r="E5538" s="5" t="s">
        <v>3962</v>
      </c>
    </row>
    <row r="5539" spans="1:5" x14ac:dyDescent="0.25">
      <c r="A5539" s="5">
        <f>5531</f>
      </c>
      <c r="B5539" s="5" t="s">
        <v>4781</v>
      </c>
      <c r="C5539" s="5" t="s">
        <v>11</v>
      </c>
      <c r="D5539" s="5" t="s">
        <v>12</v>
      </c>
      <c r="E5539" s="5" t="s">
        <v>3962</v>
      </c>
    </row>
    <row r="5540" spans="1:5" x14ac:dyDescent="0.25">
      <c r="A5540" s="5">
        <f>5532</f>
      </c>
      <c r="B5540" s="5" t="s">
        <v>4782</v>
      </c>
      <c r="C5540" s="5" t="s">
        <v>11</v>
      </c>
      <c r="D5540" s="5" t="s">
        <v>12</v>
      </c>
      <c r="E5540" s="5" t="s">
        <v>3962</v>
      </c>
    </row>
    <row r="5541" spans="1:5" x14ac:dyDescent="0.25">
      <c r="A5541" s="5">
        <f>5533</f>
      </c>
      <c r="B5541" s="5" t="s">
        <v>4783</v>
      </c>
      <c r="C5541" s="5" t="s">
        <v>11</v>
      </c>
      <c r="D5541" s="5" t="s">
        <v>12</v>
      </c>
      <c r="E5541" s="5" t="s">
        <v>3962</v>
      </c>
    </row>
    <row r="5542" spans="1:5" x14ac:dyDescent="0.25">
      <c r="A5542" s="5">
        <f>5534</f>
      </c>
      <c r="B5542" s="5" t="s">
        <v>4784</v>
      </c>
      <c r="C5542" s="5" t="s">
        <v>11</v>
      </c>
      <c r="D5542" s="5" t="s">
        <v>12</v>
      </c>
      <c r="E5542" s="5" t="s">
        <v>3962</v>
      </c>
    </row>
    <row r="5543" spans="1:5" x14ac:dyDescent="0.25">
      <c r="A5543" s="5">
        <f>5535</f>
      </c>
      <c r="B5543" s="5" t="s">
        <v>4785</v>
      </c>
      <c r="C5543" s="5" t="s">
        <v>11</v>
      </c>
      <c r="D5543" s="5" t="s">
        <v>12</v>
      </c>
      <c r="E5543" s="5" t="s">
        <v>3962</v>
      </c>
    </row>
    <row r="5544" spans="1:5" x14ac:dyDescent="0.25">
      <c r="A5544" s="5">
        <f>5536</f>
      </c>
      <c r="B5544" s="5" t="s">
        <v>4786</v>
      </c>
      <c r="C5544" s="5" t="s">
        <v>11</v>
      </c>
      <c r="D5544" s="5" t="s">
        <v>12</v>
      </c>
      <c r="E5544" s="5" t="s">
        <v>3962</v>
      </c>
    </row>
    <row r="5545" spans="1:5" x14ac:dyDescent="0.25">
      <c r="A5545" s="5">
        <f>5537</f>
      </c>
      <c r="B5545" s="5" t="s">
        <v>4787</v>
      </c>
      <c r="C5545" s="5" t="s">
        <v>11</v>
      </c>
      <c r="D5545" s="5" t="s">
        <v>12</v>
      </c>
      <c r="E5545" s="5" t="s">
        <v>3962</v>
      </c>
    </row>
    <row r="5546" spans="1:5" x14ac:dyDescent="0.25">
      <c r="A5546" s="5">
        <f>5538</f>
      </c>
      <c r="B5546" s="5" t="s">
        <v>4788</v>
      </c>
      <c r="C5546" s="5" t="s">
        <v>11</v>
      </c>
      <c r="D5546" s="5" t="s">
        <v>12</v>
      </c>
      <c r="E5546" s="5" t="s">
        <v>3962</v>
      </c>
    </row>
    <row r="5547" spans="1:5" x14ac:dyDescent="0.25">
      <c r="A5547" s="5">
        <f>5539</f>
      </c>
      <c r="B5547" s="5" t="s">
        <v>4789</v>
      </c>
      <c r="C5547" s="5" t="s">
        <v>11</v>
      </c>
      <c r="D5547" s="5" t="s">
        <v>12</v>
      </c>
      <c r="E5547" s="5" t="s">
        <v>3962</v>
      </c>
    </row>
    <row r="5548" spans="1:5" x14ac:dyDescent="0.25">
      <c r="A5548" s="5">
        <f>5540</f>
      </c>
      <c r="B5548" s="5" t="s">
        <v>4790</v>
      </c>
      <c r="C5548" s="5" t="s">
        <v>11</v>
      </c>
      <c r="D5548" s="5" t="s">
        <v>12</v>
      </c>
      <c r="E5548" s="5" t="s">
        <v>3962</v>
      </c>
    </row>
    <row r="5549" spans="1:5" x14ac:dyDescent="0.25">
      <c r="A5549" s="5">
        <f>5541</f>
      </c>
      <c r="B5549" s="5" t="s">
        <v>4791</v>
      </c>
      <c r="C5549" s="5" t="s">
        <v>11</v>
      </c>
      <c r="D5549" s="5" t="s">
        <v>12</v>
      </c>
      <c r="E5549" s="5" t="s">
        <v>3962</v>
      </c>
    </row>
    <row r="5550" spans="1:5" x14ac:dyDescent="0.25">
      <c r="A5550" s="5">
        <f>5542</f>
      </c>
      <c r="B5550" s="5" t="s">
        <v>4792</v>
      </c>
      <c r="C5550" s="5" t="s">
        <v>11</v>
      </c>
      <c r="D5550" s="5" t="s">
        <v>12</v>
      </c>
      <c r="E5550" s="5" t="s">
        <v>3962</v>
      </c>
    </row>
    <row r="5551" spans="1:5" x14ac:dyDescent="0.25">
      <c r="A5551" s="5">
        <f>5543</f>
      </c>
      <c r="B5551" s="5" t="s">
        <v>4793</v>
      </c>
      <c r="C5551" s="5" t="s">
        <v>11</v>
      </c>
      <c r="D5551" s="5" t="s">
        <v>12</v>
      </c>
      <c r="E5551" s="5" t="s">
        <v>3962</v>
      </c>
    </row>
    <row r="5552" spans="1:5" x14ac:dyDescent="0.25">
      <c r="A5552" s="5">
        <f>5544</f>
      </c>
      <c r="B5552" s="5" t="s">
        <v>4794</v>
      </c>
      <c r="C5552" s="5" t="s">
        <v>11</v>
      </c>
      <c r="D5552" s="5" t="s">
        <v>12</v>
      </c>
      <c r="E5552" s="5" t="s">
        <v>3962</v>
      </c>
    </row>
    <row r="5553" spans="1:5" x14ac:dyDescent="0.25">
      <c r="A5553" s="5">
        <f>5545</f>
      </c>
      <c r="B5553" s="5" t="s">
        <v>4795</v>
      </c>
      <c r="C5553" s="5" t="s">
        <v>11</v>
      </c>
      <c r="D5553" s="5" t="s">
        <v>12</v>
      </c>
      <c r="E5553" s="5" t="s">
        <v>3962</v>
      </c>
    </row>
    <row r="5554" spans="1:5" x14ac:dyDescent="0.25">
      <c r="A5554" s="5">
        <f>5546</f>
      </c>
      <c r="B5554" s="5" t="s">
        <v>4796</v>
      </c>
      <c r="C5554" s="5" t="s">
        <v>11</v>
      </c>
      <c r="D5554" s="5" t="s">
        <v>12</v>
      </c>
      <c r="E5554" s="5" t="s">
        <v>3962</v>
      </c>
    </row>
    <row r="5555" spans="1:5" x14ac:dyDescent="0.25">
      <c r="A5555" s="5">
        <f>5547</f>
      </c>
      <c r="B5555" s="5" t="s">
        <v>4797</v>
      </c>
      <c r="C5555" s="5" t="s">
        <v>11</v>
      </c>
      <c r="D5555" s="5" t="s">
        <v>12</v>
      </c>
      <c r="E5555" s="5" t="s">
        <v>3962</v>
      </c>
    </row>
    <row r="5556" spans="1:5" x14ac:dyDescent="0.25">
      <c r="A5556" s="5">
        <f>5548</f>
      </c>
      <c r="B5556" s="5" t="s">
        <v>4798</v>
      </c>
      <c r="C5556" s="5" t="s">
        <v>11</v>
      </c>
      <c r="D5556" s="5" t="s">
        <v>12</v>
      </c>
      <c r="E5556" s="5" t="s">
        <v>3962</v>
      </c>
    </row>
    <row r="5557" spans="1:5" x14ac:dyDescent="0.25">
      <c r="A5557" s="5">
        <f>5549</f>
      </c>
      <c r="B5557" s="5" t="s">
        <v>4799</v>
      </c>
      <c r="C5557" s="5" t="s">
        <v>11</v>
      </c>
      <c r="D5557" s="5" t="s">
        <v>12</v>
      </c>
      <c r="E5557" s="5" t="s">
        <v>3962</v>
      </c>
    </row>
    <row r="5558" spans="1:5" x14ac:dyDescent="0.25">
      <c r="A5558" s="5">
        <f>5550</f>
      </c>
      <c r="B5558" s="5" t="s">
        <v>4800</v>
      </c>
      <c r="C5558" s="5" t="s">
        <v>11</v>
      </c>
      <c r="D5558" s="5" t="s">
        <v>12</v>
      </c>
      <c r="E5558" s="5" t="s">
        <v>3962</v>
      </c>
    </row>
    <row r="5559" spans="1:5" x14ac:dyDescent="0.25">
      <c r="A5559" s="5">
        <f>5551</f>
      </c>
      <c r="B5559" s="5" t="s">
        <v>4801</v>
      </c>
      <c r="C5559" s="5" t="s">
        <v>11</v>
      </c>
      <c r="D5559" s="5" t="s">
        <v>12</v>
      </c>
      <c r="E5559" s="5" t="s">
        <v>3962</v>
      </c>
    </row>
    <row r="5560" spans="1:5" x14ac:dyDescent="0.25">
      <c r="A5560" s="5">
        <f>5552</f>
      </c>
      <c r="B5560" s="5" t="s">
        <v>4802</v>
      </c>
      <c r="C5560" s="5" t="s">
        <v>11</v>
      </c>
      <c r="D5560" s="5" t="s">
        <v>12</v>
      </c>
      <c r="E5560" s="5" t="s">
        <v>3962</v>
      </c>
    </row>
    <row r="5561" spans="1:5" x14ac:dyDescent="0.25">
      <c r="A5561" s="5">
        <f>5553</f>
      </c>
      <c r="B5561" s="5" t="s">
        <v>4803</v>
      </c>
      <c r="C5561" s="5" t="s">
        <v>11</v>
      </c>
      <c r="D5561" s="5" t="s">
        <v>12</v>
      </c>
      <c r="E5561" s="5" t="s">
        <v>3962</v>
      </c>
    </row>
    <row r="5562" spans="1:5" x14ac:dyDescent="0.25">
      <c r="A5562" s="5">
        <f>5554</f>
      </c>
      <c r="B5562" s="5" t="s">
        <v>4804</v>
      </c>
      <c r="C5562" s="5" t="s">
        <v>11</v>
      </c>
      <c r="D5562" s="5" t="s">
        <v>12</v>
      </c>
      <c r="E5562" s="5" t="s">
        <v>3962</v>
      </c>
    </row>
    <row r="5563" spans="1:5" x14ac:dyDescent="0.25">
      <c r="A5563" s="5">
        <f>5555</f>
      </c>
      <c r="B5563" s="5" t="s">
        <v>4805</v>
      </c>
      <c r="C5563" s="5" t="s">
        <v>11</v>
      </c>
      <c r="D5563" s="5" t="s">
        <v>12</v>
      </c>
      <c r="E5563" s="5" t="s">
        <v>3962</v>
      </c>
    </row>
    <row r="5564" spans="1:5" x14ac:dyDescent="0.25">
      <c r="A5564" s="5">
        <f>5556</f>
      </c>
      <c r="B5564" s="5" t="s">
        <v>4806</v>
      </c>
      <c r="C5564" s="5" t="s">
        <v>11</v>
      </c>
      <c r="D5564" s="5" t="s">
        <v>12</v>
      </c>
      <c r="E5564" s="5" t="s">
        <v>3962</v>
      </c>
    </row>
    <row r="5565" spans="1:5" x14ac:dyDescent="0.25">
      <c r="A5565" s="5">
        <f>5557</f>
      </c>
      <c r="B5565" s="5" t="s">
        <v>4807</v>
      </c>
      <c r="C5565" s="5" t="s">
        <v>11</v>
      </c>
      <c r="D5565" s="5" t="s">
        <v>12</v>
      </c>
      <c r="E5565" s="5" t="s">
        <v>3962</v>
      </c>
    </row>
    <row r="5566" spans="1:5" x14ac:dyDescent="0.25">
      <c r="A5566" s="5">
        <f>5558</f>
      </c>
      <c r="B5566" s="5" t="s">
        <v>4808</v>
      </c>
      <c r="C5566" s="5" t="s">
        <v>11</v>
      </c>
      <c r="D5566" s="5" t="s">
        <v>12</v>
      </c>
      <c r="E5566" s="5" t="s">
        <v>3962</v>
      </c>
    </row>
    <row r="5567" spans="1:5" x14ac:dyDescent="0.25">
      <c r="A5567" s="5">
        <f>5559</f>
      </c>
      <c r="B5567" s="5" t="s">
        <v>4809</v>
      </c>
      <c r="C5567" s="5" t="s">
        <v>11</v>
      </c>
      <c r="D5567" s="5" t="s">
        <v>12</v>
      </c>
      <c r="E5567" s="5" t="s">
        <v>3962</v>
      </c>
    </row>
    <row r="5568" spans="1:5" x14ac:dyDescent="0.25">
      <c r="A5568" s="5">
        <f>5560</f>
      </c>
      <c r="B5568" s="5" t="s">
        <v>4810</v>
      </c>
      <c r="C5568" s="5" t="s">
        <v>11</v>
      </c>
      <c r="D5568" s="5" t="s">
        <v>12</v>
      </c>
      <c r="E5568" s="5" t="s">
        <v>3962</v>
      </c>
    </row>
    <row r="5569" spans="1:5" x14ac:dyDescent="0.25">
      <c r="A5569" s="5">
        <f>5561</f>
      </c>
      <c r="B5569" s="5" t="s">
        <v>4811</v>
      </c>
      <c r="C5569" s="5" t="s">
        <v>11</v>
      </c>
      <c r="D5569" s="5" t="s">
        <v>12</v>
      </c>
      <c r="E5569" s="5" t="s">
        <v>3962</v>
      </c>
    </row>
    <row r="5570" spans="1:5" x14ac:dyDescent="0.25">
      <c r="A5570" s="5">
        <f>5562</f>
      </c>
      <c r="B5570" s="5" t="s">
        <v>4812</v>
      </c>
      <c r="C5570" s="5" t="s">
        <v>11</v>
      </c>
      <c r="D5570" s="5" t="s">
        <v>12</v>
      </c>
      <c r="E5570" s="5" t="s">
        <v>3962</v>
      </c>
    </row>
    <row r="5571" spans="1:5" x14ac:dyDescent="0.25">
      <c r="A5571" s="5">
        <f>5563</f>
      </c>
      <c r="B5571" s="5" t="s">
        <v>4813</v>
      </c>
      <c r="C5571" s="5" t="s">
        <v>11</v>
      </c>
      <c r="D5571" s="5" t="s">
        <v>12</v>
      </c>
      <c r="E5571" s="5" t="s">
        <v>3962</v>
      </c>
    </row>
    <row r="5572" spans="1:5" x14ac:dyDescent="0.25">
      <c r="A5572" s="5">
        <f>5564</f>
      </c>
      <c r="B5572" s="5" t="s">
        <v>4814</v>
      </c>
      <c r="C5572" s="5" t="s">
        <v>11</v>
      </c>
      <c r="D5572" s="5" t="s">
        <v>12</v>
      </c>
      <c r="E5572" s="5" t="s">
        <v>3962</v>
      </c>
    </row>
    <row r="5573" spans="1:5" x14ac:dyDescent="0.25">
      <c r="A5573" s="5">
        <f>5565</f>
      </c>
      <c r="B5573" s="5" t="s">
        <v>4815</v>
      </c>
      <c r="C5573" s="5" t="s">
        <v>11</v>
      </c>
      <c r="D5573" s="5" t="s">
        <v>12</v>
      </c>
      <c r="E5573" s="5" t="s">
        <v>3962</v>
      </c>
    </row>
    <row r="5574" spans="1:5" x14ac:dyDescent="0.25">
      <c r="A5574" s="5">
        <f>5566</f>
      </c>
      <c r="B5574" s="5" t="s">
        <v>4816</v>
      </c>
      <c r="C5574" s="5" t="s">
        <v>11</v>
      </c>
      <c r="D5574" s="5" t="s">
        <v>12</v>
      </c>
      <c r="E5574" s="5" t="s">
        <v>3962</v>
      </c>
    </row>
    <row r="5575" spans="1:5" x14ac:dyDescent="0.25">
      <c r="A5575" s="5">
        <f>5567</f>
      </c>
      <c r="B5575" s="5" t="s">
        <v>4817</v>
      </c>
      <c r="C5575" s="5" t="s">
        <v>11</v>
      </c>
      <c r="D5575" s="5" t="s">
        <v>12</v>
      </c>
      <c r="E5575" s="5" t="s">
        <v>3962</v>
      </c>
    </row>
    <row r="5576" spans="1:5" x14ac:dyDescent="0.25">
      <c r="A5576" s="5">
        <f>5568</f>
      </c>
      <c r="B5576" s="5" t="s">
        <v>4818</v>
      </c>
      <c r="C5576" s="5" t="s">
        <v>11</v>
      </c>
      <c r="D5576" s="5" t="s">
        <v>12</v>
      </c>
      <c r="E5576" s="5" t="s">
        <v>3962</v>
      </c>
    </row>
    <row r="5577" spans="1:5" x14ac:dyDescent="0.25">
      <c r="A5577" s="5">
        <f>5569</f>
      </c>
      <c r="B5577" s="5" t="s">
        <v>4819</v>
      </c>
      <c r="C5577" s="5" t="s">
        <v>11</v>
      </c>
      <c r="D5577" s="5" t="s">
        <v>12</v>
      </c>
      <c r="E5577" s="5" t="s">
        <v>3962</v>
      </c>
    </row>
    <row r="5578" spans="1:5" x14ac:dyDescent="0.25">
      <c r="A5578" s="5">
        <f>5570</f>
      </c>
      <c r="B5578" s="5" t="s">
        <v>4820</v>
      </c>
      <c r="C5578" s="5" t="s">
        <v>11</v>
      </c>
      <c r="D5578" s="5" t="s">
        <v>12</v>
      </c>
      <c r="E5578" s="5" t="s">
        <v>3962</v>
      </c>
    </row>
    <row r="5579" spans="1:5" x14ac:dyDescent="0.25">
      <c r="A5579" s="5">
        <f>5571</f>
      </c>
      <c r="B5579" s="5" t="s">
        <v>4821</v>
      </c>
      <c r="C5579" s="5" t="s">
        <v>11</v>
      </c>
      <c r="D5579" s="5" t="s">
        <v>12</v>
      </c>
      <c r="E5579" s="5" t="s">
        <v>3962</v>
      </c>
    </row>
    <row r="5580" spans="1:5" x14ac:dyDescent="0.25">
      <c r="A5580" s="5">
        <f>5572</f>
      </c>
      <c r="B5580" s="5" t="s">
        <v>4822</v>
      </c>
      <c r="C5580" s="5" t="s">
        <v>11</v>
      </c>
      <c r="D5580" s="5" t="s">
        <v>12</v>
      </c>
      <c r="E5580" s="5" t="s">
        <v>3962</v>
      </c>
    </row>
    <row r="5581" spans="1:5" x14ac:dyDescent="0.25">
      <c r="A5581" s="5">
        <f>5573</f>
      </c>
      <c r="B5581" s="5" t="s">
        <v>4823</v>
      </c>
      <c r="C5581" s="5" t="s">
        <v>11</v>
      </c>
      <c r="D5581" s="5" t="s">
        <v>12</v>
      </c>
      <c r="E5581" s="5" t="s">
        <v>3962</v>
      </c>
    </row>
    <row r="5582" spans="1:5" x14ac:dyDescent="0.25">
      <c r="A5582" s="5">
        <f>5574</f>
      </c>
      <c r="B5582" s="5" t="s">
        <v>4824</v>
      </c>
      <c r="C5582" s="5" t="s">
        <v>11</v>
      </c>
      <c r="D5582" s="5" t="s">
        <v>12</v>
      </c>
      <c r="E5582" s="5" t="s">
        <v>3962</v>
      </c>
    </row>
    <row r="5583" spans="1:5" x14ac:dyDescent="0.25">
      <c r="A5583" s="5">
        <f>5575</f>
      </c>
      <c r="B5583" s="5" t="s">
        <v>4825</v>
      </c>
      <c r="C5583" s="5" t="s">
        <v>11</v>
      </c>
      <c r="D5583" s="5" t="s">
        <v>12</v>
      </c>
      <c r="E5583" s="5" t="s">
        <v>3962</v>
      </c>
    </row>
    <row r="5584" spans="1:5" x14ac:dyDescent="0.25">
      <c r="A5584" s="5">
        <f>5576</f>
      </c>
      <c r="B5584" s="5" t="s">
        <v>4826</v>
      </c>
      <c r="C5584" s="5" t="s">
        <v>11</v>
      </c>
      <c r="D5584" s="5" t="s">
        <v>12</v>
      </c>
      <c r="E5584" s="5" t="s">
        <v>3962</v>
      </c>
    </row>
    <row r="5585" spans="1:5" x14ac:dyDescent="0.25">
      <c r="A5585" s="5">
        <f>5577</f>
      </c>
      <c r="B5585" s="5" t="s">
        <v>4827</v>
      </c>
      <c r="C5585" s="5" t="s">
        <v>11</v>
      </c>
      <c r="D5585" s="5" t="s">
        <v>12</v>
      </c>
      <c r="E5585" s="5" t="s">
        <v>3962</v>
      </c>
    </row>
    <row r="5586" spans="1:5" x14ac:dyDescent="0.25">
      <c r="A5586" s="5">
        <f>5578</f>
      </c>
      <c r="B5586" s="5" t="s">
        <v>4828</v>
      </c>
      <c r="C5586" s="5" t="s">
        <v>11</v>
      </c>
      <c r="D5586" s="5" t="s">
        <v>12</v>
      </c>
      <c r="E5586" s="5" t="s">
        <v>3962</v>
      </c>
    </row>
    <row r="5587" spans="1:5" x14ac:dyDescent="0.25">
      <c r="A5587" s="5">
        <f>5579</f>
      </c>
      <c r="B5587" s="5" t="s">
        <v>4829</v>
      </c>
      <c r="C5587" s="5" t="s">
        <v>11</v>
      </c>
      <c r="D5587" s="5" t="s">
        <v>12</v>
      </c>
      <c r="E5587" s="5" t="s">
        <v>3962</v>
      </c>
    </row>
    <row r="5588" spans="1:5" x14ac:dyDescent="0.25">
      <c r="A5588" s="5">
        <f>5580</f>
      </c>
      <c r="B5588" s="5" t="s">
        <v>4830</v>
      </c>
      <c r="C5588" s="5" t="s">
        <v>11</v>
      </c>
      <c r="D5588" s="5" t="s">
        <v>12</v>
      </c>
      <c r="E5588" s="5" t="s">
        <v>3962</v>
      </c>
    </row>
    <row r="5589" spans="1:5" x14ac:dyDescent="0.25">
      <c r="A5589" s="5">
        <f>5581</f>
      </c>
      <c r="B5589" s="5" t="s">
        <v>4831</v>
      </c>
      <c r="C5589" s="5" t="s">
        <v>11</v>
      </c>
      <c r="D5589" s="5" t="s">
        <v>12</v>
      </c>
      <c r="E5589" s="5" t="s">
        <v>3962</v>
      </c>
    </row>
    <row r="5590" spans="1:5" x14ac:dyDescent="0.25">
      <c r="A5590" s="5">
        <f>5582</f>
      </c>
      <c r="B5590" s="5" t="s">
        <v>4832</v>
      </c>
      <c r="C5590" s="5" t="s">
        <v>11</v>
      </c>
      <c r="D5590" s="5" t="s">
        <v>12</v>
      </c>
      <c r="E5590" s="5" t="s">
        <v>3962</v>
      </c>
    </row>
    <row r="5591" spans="1:5" x14ac:dyDescent="0.25">
      <c r="A5591" s="5">
        <f>5583</f>
      </c>
      <c r="B5591" s="5" t="s">
        <v>4833</v>
      </c>
      <c r="C5591" s="5" t="s">
        <v>11</v>
      </c>
      <c r="D5591" s="5" t="s">
        <v>12</v>
      </c>
      <c r="E5591" s="5" t="s">
        <v>3962</v>
      </c>
    </row>
    <row r="5592" spans="1:5" x14ac:dyDescent="0.25">
      <c r="A5592" s="5">
        <f>5584</f>
      </c>
      <c r="B5592" s="5" t="s">
        <v>4834</v>
      </c>
      <c r="C5592" s="5" t="s">
        <v>11</v>
      </c>
      <c r="D5592" s="5" t="s">
        <v>12</v>
      </c>
      <c r="E5592" s="5" t="s">
        <v>3962</v>
      </c>
    </row>
    <row r="5593" spans="1:5" x14ac:dyDescent="0.25">
      <c r="A5593" s="5">
        <f>5585</f>
      </c>
      <c r="B5593" s="5" t="s">
        <v>4835</v>
      </c>
      <c r="C5593" s="5" t="s">
        <v>11</v>
      </c>
      <c r="D5593" s="5" t="s">
        <v>12</v>
      </c>
      <c r="E5593" s="5" t="s">
        <v>3962</v>
      </c>
    </row>
    <row r="5594" spans="1:5" x14ac:dyDescent="0.25">
      <c r="A5594" s="5">
        <f>5586</f>
      </c>
      <c r="B5594" s="5" t="s">
        <v>4836</v>
      </c>
      <c r="C5594" s="5" t="s">
        <v>11</v>
      </c>
      <c r="D5594" s="5" t="s">
        <v>12</v>
      </c>
      <c r="E5594" s="5" t="s">
        <v>3962</v>
      </c>
    </row>
    <row r="5595" spans="1:5" x14ac:dyDescent="0.25">
      <c r="A5595" s="5">
        <f>5587</f>
      </c>
      <c r="B5595" s="5" t="s">
        <v>4837</v>
      </c>
      <c r="C5595" s="5" t="s">
        <v>11</v>
      </c>
      <c r="D5595" s="5" t="s">
        <v>12</v>
      </c>
      <c r="E5595" s="5" t="s">
        <v>3962</v>
      </c>
    </row>
    <row r="5596" spans="1:5" x14ac:dyDescent="0.25">
      <c r="A5596" s="5">
        <f>5588</f>
      </c>
      <c r="B5596" s="5" t="s">
        <v>4838</v>
      </c>
      <c r="C5596" s="5" t="s">
        <v>11</v>
      </c>
      <c r="D5596" s="5" t="s">
        <v>12</v>
      </c>
      <c r="E5596" s="5" t="s">
        <v>3962</v>
      </c>
    </row>
    <row r="5597" spans="1:5" x14ac:dyDescent="0.25">
      <c r="A5597" s="5">
        <f>5589</f>
      </c>
      <c r="B5597" s="5" t="s">
        <v>4839</v>
      </c>
      <c r="C5597" s="5" t="s">
        <v>11</v>
      </c>
      <c r="D5597" s="5" t="s">
        <v>12</v>
      </c>
      <c r="E5597" s="5" t="s">
        <v>3962</v>
      </c>
    </row>
    <row r="5598" spans="1:5" x14ac:dyDescent="0.25">
      <c r="A5598" s="5">
        <f>5590</f>
      </c>
      <c r="B5598" s="5" t="s">
        <v>4840</v>
      </c>
      <c r="C5598" s="5" t="s">
        <v>11</v>
      </c>
      <c r="D5598" s="5" t="s">
        <v>12</v>
      </c>
      <c r="E5598" s="5" t="s">
        <v>3962</v>
      </c>
    </row>
    <row r="5599" spans="1:5" x14ac:dyDescent="0.25">
      <c r="A5599" s="5">
        <f>5591</f>
      </c>
      <c r="B5599" s="5" t="s">
        <v>4841</v>
      </c>
      <c r="C5599" s="5" t="s">
        <v>11</v>
      </c>
      <c r="D5599" s="5" t="s">
        <v>12</v>
      </c>
      <c r="E5599" s="5" t="s">
        <v>3962</v>
      </c>
    </row>
    <row r="5600" spans="1:5" x14ac:dyDescent="0.25">
      <c r="A5600" s="5">
        <f>5592</f>
      </c>
      <c r="B5600" s="5" t="s">
        <v>4842</v>
      </c>
      <c r="C5600" s="5" t="s">
        <v>11</v>
      </c>
      <c r="D5600" s="5" t="s">
        <v>12</v>
      </c>
      <c r="E5600" s="5" t="s">
        <v>3962</v>
      </c>
    </row>
    <row r="5601" spans="1:5" x14ac:dyDescent="0.25">
      <c r="A5601" s="5">
        <f>5593</f>
      </c>
      <c r="B5601" s="5" t="s">
        <v>4843</v>
      </c>
      <c r="C5601" s="5" t="s">
        <v>11</v>
      </c>
      <c r="D5601" s="5" t="s">
        <v>12</v>
      </c>
      <c r="E5601" s="5" t="s">
        <v>3962</v>
      </c>
    </row>
    <row r="5602" spans="1:5" x14ac:dyDescent="0.25">
      <c r="A5602" s="5">
        <f>5594</f>
      </c>
      <c r="B5602" s="5" t="s">
        <v>4844</v>
      </c>
      <c r="C5602" s="5" t="s">
        <v>11</v>
      </c>
      <c r="D5602" s="5" t="s">
        <v>12</v>
      </c>
      <c r="E5602" s="5" t="s">
        <v>3962</v>
      </c>
    </row>
    <row r="5603" spans="1:5" x14ac:dyDescent="0.25">
      <c r="A5603" s="5">
        <f>5595</f>
      </c>
      <c r="B5603" s="5" t="s">
        <v>4845</v>
      </c>
      <c r="C5603" s="5" t="s">
        <v>11</v>
      </c>
      <c r="D5603" s="5" t="s">
        <v>12</v>
      </c>
      <c r="E5603" s="5" t="s">
        <v>3962</v>
      </c>
    </row>
    <row r="5604" spans="1:5" x14ac:dyDescent="0.25">
      <c r="A5604" s="5">
        <f>5596</f>
      </c>
      <c r="B5604" s="5" t="s">
        <v>4846</v>
      </c>
      <c r="C5604" s="5" t="s">
        <v>11</v>
      </c>
      <c r="D5604" s="5" t="s">
        <v>12</v>
      </c>
      <c r="E5604" s="5" t="s">
        <v>3962</v>
      </c>
    </row>
    <row r="5605" spans="1:5" x14ac:dyDescent="0.25">
      <c r="A5605" s="5">
        <f>5597</f>
      </c>
      <c r="B5605" s="5" t="s">
        <v>4847</v>
      </c>
      <c r="C5605" s="5" t="s">
        <v>11</v>
      </c>
      <c r="D5605" s="5" t="s">
        <v>12</v>
      </c>
      <c r="E5605" s="5" t="s">
        <v>3962</v>
      </c>
    </row>
    <row r="5606" spans="1:5" x14ac:dyDescent="0.25">
      <c r="A5606" s="5">
        <f>5598</f>
      </c>
      <c r="B5606" s="5" t="s">
        <v>4848</v>
      </c>
      <c r="C5606" s="5" t="s">
        <v>11</v>
      </c>
      <c r="D5606" s="5" t="s">
        <v>12</v>
      </c>
      <c r="E5606" s="5" t="s">
        <v>3962</v>
      </c>
    </row>
    <row r="5607" spans="1:5" x14ac:dyDescent="0.25">
      <c r="A5607" s="5">
        <f>5599</f>
      </c>
      <c r="B5607" s="5" t="s">
        <v>4849</v>
      </c>
      <c r="C5607" s="5" t="s">
        <v>11</v>
      </c>
      <c r="D5607" s="5" t="s">
        <v>12</v>
      </c>
      <c r="E5607" s="5" t="s">
        <v>3962</v>
      </c>
    </row>
    <row r="5608" spans="1:5" x14ac:dyDescent="0.25">
      <c r="A5608" s="5">
        <f>5600</f>
      </c>
      <c r="B5608" s="5" t="s">
        <v>4850</v>
      </c>
      <c r="C5608" s="5" t="s">
        <v>11</v>
      </c>
      <c r="D5608" s="5" t="s">
        <v>12</v>
      </c>
      <c r="E5608" s="5" t="s">
        <v>3962</v>
      </c>
    </row>
    <row r="5609" spans="1:5" x14ac:dyDescent="0.25">
      <c r="A5609" s="5">
        <f>5601</f>
      </c>
      <c r="B5609" s="5" t="s">
        <v>4851</v>
      </c>
      <c r="C5609" s="5" t="s">
        <v>11</v>
      </c>
      <c r="D5609" s="5" t="s">
        <v>12</v>
      </c>
      <c r="E5609" s="5" t="s">
        <v>3962</v>
      </c>
    </row>
    <row r="5610" spans="1:5" x14ac:dyDescent="0.25">
      <c r="A5610" s="5">
        <f>5602</f>
      </c>
      <c r="B5610" s="5" t="s">
        <v>4852</v>
      </c>
      <c r="C5610" s="5" t="s">
        <v>11</v>
      </c>
      <c r="D5610" s="5" t="s">
        <v>12</v>
      </c>
      <c r="E5610" s="5" t="s">
        <v>3962</v>
      </c>
    </row>
    <row r="5611" spans="1:5" x14ac:dyDescent="0.25">
      <c r="A5611" s="5">
        <f>5603</f>
      </c>
      <c r="B5611" s="5" t="s">
        <v>4853</v>
      </c>
      <c r="C5611" s="5" t="s">
        <v>11</v>
      </c>
      <c r="D5611" s="5" t="s">
        <v>12</v>
      </c>
      <c r="E5611" s="5" t="s">
        <v>3962</v>
      </c>
    </row>
    <row r="5612" spans="1:5" x14ac:dyDescent="0.25">
      <c r="A5612" s="5">
        <f>5604</f>
      </c>
      <c r="B5612" s="5" t="s">
        <v>4854</v>
      </c>
      <c r="C5612" s="5" t="s">
        <v>11</v>
      </c>
      <c r="D5612" s="5" t="s">
        <v>12</v>
      </c>
      <c r="E5612" s="5" t="s">
        <v>3962</v>
      </c>
    </row>
    <row r="5613" spans="1:5" x14ac:dyDescent="0.25">
      <c r="A5613" s="5">
        <f>5605</f>
      </c>
      <c r="B5613" s="5" t="s">
        <v>4855</v>
      </c>
      <c r="C5613" s="5" t="s">
        <v>11</v>
      </c>
      <c r="D5613" s="5" t="s">
        <v>12</v>
      </c>
      <c r="E5613" s="5" t="s">
        <v>3962</v>
      </c>
    </row>
    <row r="5614" spans="1:5" x14ac:dyDescent="0.25">
      <c r="A5614" s="5">
        <f>5606</f>
      </c>
      <c r="B5614" s="5" t="s">
        <v>4856</v>
      </c>
      <c r="C5614" s="5" t="s">
        <v>11</v>
      </c>
      <c r="D5614" s="5" t="s">
        <v>12</v>
      </c>
      <c r="E5614" s="5" t="s">
        <v>3962</v>
      </c>
    </row>
    <row r="5615" spans="1:5" x14ac:dyDescent="0.25">
      <c r="A5615" s="5">
        <f>5607</f>
      </c>
      <c r="B5615" s="5" t="s">
        <v>4857</v>
      </c>
      <c r="C5615" s="5" t="s">
        <v>11</v>
      </c>
      <c r="D5615" s="5" t="s">
        <v>12</v>
      </c>
      <c r="E5615" s="5" t="s">
        <v>3962</v>
      </c>
    </row>
    <row r="5616" spans="1:5" x14ac:dyDescent="0.25">
      <c r="A5616" s="5">
        <f>5608</f>
      </c>
      <c r="B5616" s="5" t="s">
        <v>4858</v>
      </c>
      <c r="C5616" s="5" t="s">
        <v>11</v>
      </c>
      <c r="D5616" s="5" t="s">
        <v>12</v>
      </c>
      <c r="E5616" s="5" t="s">
        <v>3962</v>
      </c>
    </row>
    <row r="5617" spans="1:5" x14ac:dyDescent="0.25">
      <c r="A5617" s="5">
        <f>5609</f>
      </c>
      <c r="B5617" s="5" t="s">
        <v>4859</v>
      </c>
      <c r="C5617" s="5" t="s">
        <v>11</v>
      </c>
      <c r="D5617" s="5" t="s">
        <v>12</v>
      </c>
      <c r="E5617" s="5" t="s">
        <v>3962</v>
      </c>
    </row>
    <row r="5618" spans="1:5" x14ac:dyDescent="0.25">
      <c r="A5618" s="5">
        <f>5610</f>
      </c>
      <c r="B5618" s="5" t="s">
        <v>4860</v>
      </c>
      <c r="C5618" s="5" t="s">
        <v>11</v>
      </c>
      <c r="D5618" s="5" t="s">
        <v>12</v>
      </c>
      <c r="E5618" s="5" t="s">
        <v>3962</v>
      </c>
    </row>
    <row r="5619" spans="1:5" x14ac:dyDescent="0.25">
      <c r="A5619" s="5">
        <f>5611</f>
      </c>
      <c r="B5619" s="5" t="s">
        <v>4861</v>
      </c>
      <c r="C5619" s="5" t="s">
        <v>11</v>
      </c>
      <c r="D5619" s="5" t="s">
        <v>12</v>
      </c>
      <c r="E5619" s="5" t="s">
        <v>3962</v>
      </c>
    </row>
    <row r="5620" spans="1:5" x14ac:dyDescent="0.25">
      <c r="A5620" s="5">
        <f>5612</f>
      </c>
      <c r="B5620" s="5" t="s">
        <v>4862</v>
      </c>
      <c r="C5620" s="5" t="s">
        <v>11</v>
      </c>
      <c r="D5620" s="5" t="s">
        <v>12</v>
      </c>
      <c r="E5620" s="5" t="s">
        <v>3962</v>
      </c>
    </row>
    <row r="5621" spans="1:5" x14ac:dyDescent="0.25">
      <c r="A5621" s="5">
        <f>5613</f>
      </c>
      <c r="B5621" s="5" t="s">
        <v>4863</v>
      </c>
      <c r="C5621" s="5" t="s">
        <v>11</v>
      </c>
      <c r="D5621" s="5" t="s">
        <v>12</v>
      </c>
      <c r="E5621" s="5" t="s">
        <v>3962</v>
      </c>
    </row>
    <row r="5622" spans="1:5" x14ac:dyDescent="0.25">
      <c r="A5622" s="5">
        <f>5614</f>
      </c>
      <c r="B5622" s="5" t="s">
        <v>4864</v>
      </c>
      <c r="C5622" s="5" t="s">
        <v>11</v>
      </c>
      <c r="D5622" s="5" t="s">
        <v>12</v>
      </c>
      <c r="E5622" s="5" t="s">
        <v>3962</v>
      </c>
    </row>
    <row r="5623" spans="1:5" x14ac:dyDescent="0.25">
      <c r="A5623" s="5">
        <f>5615</f>
      </c>
      <c r="B5623" s="5" t="s">
        <v>4865</v>
      </c>
      <c r="C5623" s="5" t="s">
        <v>11</v>
      </c>
      <c r="D5623" s="5" t="s">
        <v>12</v>
      </c>
      <c r="E5623" s="5" t="s">
        <v>3962</v>
      </c>
    </row>
    <row r="5624" spans="1:5" x14ac:dyDescent="0.25">
      <c r="A5624" s="5">
        <f>5616</f>
      </c>
      <c r="B5624" s="5" t="s">
        <v>4866</v>
      </c>
      <c r="C5624" s="5" t="s">
        <v>11</v>
      </c>
      <c r="D5624" s="5" t="s">
        <v>12</v>
      </c>
      <c r="E5624" s="5" t="s">
        <v>3962</v>
      </c>
    </row>
    <row r="5625" spans="1:5" x14ac:dyDescent="0.25">
      <c r="A5625" s="5">
        <f>5617</f>
      </c>
      <c r="B5625" s="5" t="s">
        <v>4867</v>
      </c>
      <c r="C5625" s="5" t="s">
        <v>11</v>
      </c>
      <c r="D5625" s="5" t="s">
        <v>12</v>
      </c>
      <c r="E5625" s="5" t="s">
        <v>3962</v>
      </c>
    </row>
    <row r="5626" spans="1:5" x14ac:dyDescent="0.25">
      <c r="A5626" s="5">
        <f>5618</f>
      </c>
      <c r="B5626" s="5" t="s">
        <v>4868</v>
      </c>
      <c r="C5626" s="5" t="s">
        <v>11</v>
      </c>
      <c r="D5626" s="5" t="s">
        <v>12</v>
      </c>
      <c r="E5626" s="5" t="s">
        <v>3962</v>
      </c>
    </row>
    <row r="5627" spans="1:5" x14ac:dyDescent="0.25">
      <c r="A5627" s="5">
        <f>5619</f>
      </c>
      <c r="B5627" s="5" t="s">
        <v>4869</v>
      </c>
      <c r="C5627" s="5" t="s">
        <v>11</v>
      </c>
      <c r="D5627" s="5" t="s">
        <v>12</v>
      </c>
      <c r="E5627" s="5" t="s">
        <v>3962</v>
      </c>
    </row>
    <row r="5628" spans="1:5" x14ac:dyDescent="0.25">
      <c r="A5628" s="5">
        <f>5620</f>
      </c>
      <c r="B5628" s="5" t="s">
        <v>4870</v>
      </c>
      <c r="C5628" s="5" t="s">
        <v>11</v>
      </c>
      <c r="D5628" s="5" t="s">
        <v>12</v>
      </c>
      <c r="E5628" s="5" t="s">
        <v>3962</v>
      </c>
    </row>
    <row r="5629" spans="1:5" x14ac:dyDescent="0.25">
      <c r="A5629" s="5">
        <f>5621</f>
      </c>
      <c r="B5629" s="5" t="s">
        <v>4871</v>
      </c>
      <c r="C5629" s="5" t="s">
        <v>11</v>
      </c>
      <c r="D5629" s="5" t="s">
        <v>12</v>
      </c>
      <c r="E5629" s="5" t="s">
        <v>3962</v>
      </c>
    </row>
    <row r="5630" spans="1:5" x14ac:dyDescent="0.25">
      <c r="A5630" s="5">
        <f>5622</f>
      </c>
      <c r="B5630" s="5" t="s">
        <v>4872</v>
      </c>
      <c r="C5630" s="5" t="s">
        <v>11</v>
      </c>
      <c r="D5630" s="5" t="s">
        <v>12</v>
      </c>
      <c r="E5630" s="5" t="s">
        <v>3962</v>
      </c>
    </row>
    <row r="5631" spans="1:5" x14ac:dyDescent="0.25">
      <c r="A5631" s="5">
        <f>5623</f>
      </c>
      <c r="B5631" s="5" t="s">
        <v>4873</v>
      </c>
      <c r="C5631" s="5" t="s">
        <v>11</v>
      </c>
      <c r="D5631" s="5" t="s">
        <v>12</v>
      </c>
      <c r="E5631" s="5" t="s">
        <v>3962</v>
      </c>
    </row>
    <row r="5632" spans="1:5" x14ac:dyDescent="0.25">
      <c r="A5632" s="5">
        <f>5624</f>
      </c>
      <c r="B5632" s="5" t="s">
        <v>4874</v>
      </c>
      <c r="C5632" s="5" t="s">
        <v>11</v>
      </c>
      <c r="D5632" s="5" t="s">
        <v>12</v>
      </c>
      <c r="E5632" s="5" t="s">
        <v>3962</v>
      </c>
    </row>
    <row r="5633" spans="1:5" x14ac:dyDescent="0.25">
      <c r="A5633" s="5">
        <f>5625</f>
      </c>
      <c r="B5633" s="5" t="s">
        <v>4875</v>
      </c>
      <c r="C5633" s="5" t="s">
        <v>11</v>
      </c>
      <c r="D5633" s="5" t="s">
        <v>12</v>
      </c>
      <c r="E5633" s="5" t="s">
        <v>3962</v>
      </c>
    </row>
    <row r="5634" spans="1:5" x14ac:dyDescent="0.25">
      <c r="A5634" s="5">
        <f>5626</f>
      </c>
      <c r="B5634" s="5" t="s">
        <v>4876</v>
      </c>
      <c r="C5634" s="5" t="s">
        <v>11</v>
      </c>
      <c r="D5634" s="5" t="s">
        <v>12</v>
      </c>
      <c r="E5634" s="5" t="s">
        <v>3962</v>
      </c>
    </row>
    <row r="5635" spans="1:5" x14ac:dyDescent="0.25">
      <c r="A5635" s="5">
        <f>5627</f>
      </c>
      <c r="B5635" s="5" t="s">
        <v>4877</v>
      </c>
      <c r="C5635" s="5" t="s">
        <v>11</v>
      </c>
      <c r="D5635" s="5" t="s">
        <v>12</v>
      </c>
      <c r="E5635" s="5" t="s">
        <v>3962</v>
      </c>
    </row>
    <row r="5636" spans="1:5" x14ac:dyDescent="0.25">
      <c r="A5636" s="5">
        <f>5628</f>
      </c>
      <c r="B5636" s="5" t="s">
        <v>4878</v>
      </c>
      <c r="C5636" s="5" t="s">
        <v>11</v>
      </c>
      <c r="D5636" s="5" t="s">
        <v>12</v>
      </c>
      <c r="E5636" s="5" t="s">
        <v>3962</v>
      </c>
    </row>
    <row r="5637" spans="1:5" x14ac:dyDescent="0.25">
      <c r="A5637" s="5">
        <f>5629</f>
      </c>
      <c r="B5637" s="5" t="s">
        <v>4879</v>
      </c>
      <c r="C5637" s="5" t="s">
        <v>11</v>
      </c>
      <c r="D5637" s="5" t="s">
        <v>12</v>
      </c>
      <c r="E5637" s="5" t="s">
        <v>3962</v>
      </c>
    </row>
    <row r="5638" spans="1:5" x14ac:dyDescent="0.25">
      <c r="A5638" s="5">
        <f>5630</f>
      </c>
      <c r="B5638" s="5" t="s">
        <v>4880</v>
      </c>
      <c r="C5638" s="5" t="s">
        <v>11</v>
      </c>
      <c r="D5638" s="5" t="s">
        <v>12</v>
      </c>
      <c r="E5638" s="5" t="s">
        <v>3962</v>
      </c>
    </row>
    <row r="5639" spans="1:5" x14ac:dyDescent="0.25">
      <c r="A5639" s="5">
        <f>5631</f>
      </c>
      <c r="B5639" s="5" t="s">
        <v>4881</v>
      </c>
      <c r="C5639" s="5" t="s">
        <v>11</v>
      </c>
      <c r="D5639" s="5" t="s">
        <v>12</v>
      </c>
      <c r="E5639" s="5" t="s">
        <v>3962</v>
      </c>
    </row>
    <row r="5640" spans="1:5" x14ac:dyDescent="0.25">
      <c r="A5640" s="5">
        <f>5632</f>
      </c>
      <c r="B5640" s="5" t="s">
        <v>4882</v>
      </c>
      <c r="C5640" s="5" t="s">
        <v>11</v>
      </c>
      <c r="D5640" s="5" t="s">
        <v>12</v>
      </c>
      <c r="E5640" s="5" t="s">
        <v>3962</v>
      </c>
    </row>
    <row r="5641" spans="1:5" x14ac:dyDescent="0.25">
      <c r="A5641" s="5">
        <f>5633</f>
      </c>
      <c r="B5641" s="5" t="s">
        <v>4883</v>
      </c>
      <c r="C5641" s="5" t="s">
        <v>11</v>
      </c>
      <c r="D5641" s="5" t="s">
        <v>12</v>
      </c>
      <c r="E5641" s="5" t="s">
        <v>3962</v>
      </c>
    </row>
    <row r="5642" spans="1:5" x14ac:dyDescent="0.25">
      <c r="A5642" s="5">
        <f>5634</f>
      </c>
      <c r="B5642" s="5" t="s">
        <v>4884</v>
      </c>
      <c r="C5642" s="5" t="s">
        <v>11</v>
      </c>
      <c r="D5642" s="5" t="s">
        <v>12</v>
      </c>
      <c r="E5642" s="5" t="s">
        <v>3962</v>
      </c>
    </row>
    <row r="5643" spans="1:5" x14ac:dyDescent="0.25">
      <c r="A5643" s="5">
        <f>5635</f>
      </c>
      <c r="B5643" s="5" t="s">
        <v>4885</v>
      </c>
      <c r="C5643" s="5" t="s">
        <v>11</v>
      </c>
      <c r="D5643" s="5" t="s">
        <v>12</v>
      </c>
      <c r="E5643" s="5" t="s">
        <v>3962</v>
      </c>
    </row>
    <row r="5644" spans="1:5" x14ac:dyDescent="0.25">
      <c r="A5644" s="5">
        <f>5636</f>
      </c>
      <c r="B5644" s="5" t="s">
        <v>4886</v>
      </c>
      <c r="C5644" s="5" t="s">
        <v>11</v>
      </c>
      <c r="D5644" s="5" t="s">
        <v>12</v>
      </c>
      <c r="E5644" s="5" t="s">
        <v>3962</v>
      </c>
    </row>
    <row r="5645" spans="1:5" x14ac:dyDescent="0.25">
      <c r="A5645" s="5">
        <f>5637</f>
      </c>
      <c r="B5645" s="5" t="s">
        <v>4887</v>
      </c>
      <c r="C5645" s="5" t="s">
        <v>11</v>
      </c>
      <c r="D5645" s="5" t="s">
        <v>12</v>
      </c>
      <c r="E5645" s="5" t="s">
        <v>3962</v>
      </c>
    </row>
    <row r="5646" spans="1:5" x14ac:dyDescent="0.25">
      <c r="A5646" s="5">
        <f>5638</f>
      </c>
      <c r="B5646" s="5" t="s">
        <v>4888</v>
      </c>
      <c r="C5646" s="5" t="s">
        <v>11</v>
      </c>
      <c r="D5646" s="5" t="s">
        <v>12</v>
      </c>
      <c r="E5646" s="5" t="s">
        <v>3962</v>
      </c>
    </row>
    <row r="5647" spans="1:5" x14ac:dyDescent="0.25">
      <c r="A5647" s="5">
        <f>5639</f>
      </c>
      <c r="B5647" s="5" t="s">
        <v>4889</v>
      </c>
      <c r="C5647" s="5" t="s">
        <v>11</v>
      </c>
      <c r="D5647" s="5" t="s">
        <v>12</v>
      </c>
      <c r="E5647" s="5" t="s">
        <v>3962</v>
      </c>
    </row>
    <row r="5648" spans="1:5" x14ac:dyDescent="0.25">
      <c r="A5648" s="5">
        <f>5640</f>
      </c>
      <c r="B5648" s="5" t="s">
        <v>4890</v>
      </c>
      <c r="C5648" s="5" t="s">
        <v>11</v>
      </c>
      <c r="D5648" s="5" t="s">
        <v>12</v>
      </c>
      <c r="E5648" s="5" t="s">
        <v>3962</v>
      </c>
    </row>
    <row r="5649" spans="1:5" x14ac:dyDescent="0.25">
      <c r="A5649" s="5">
        <f>5641</f>
      </c>
      <c r="B5649" s="5" t="s">
        <v>4891</v>
      </c>
      <c r="C5649" s="5" t="s">
        <v>11</v>
      </c>
      <c r="D5649" s="5" t="s">
        <v>12</v>
      </c>
      <c r="E5649" s="5" t="s">
        <v>3962</v>
      </c>
    </row>
    <row r="5650" spans="1:5" x14ac:dyDescent="0.25">
      <c r="A5650" s="5">
        <f>5642</f>
      </c>
      <c r="B5650" s="5" t="s">
        <v>4892</v>
      </c>
      <c r="C5650" s="5" t="s">
        <v>11</v>
      </c>
      <c r="D5650" s="5" t="s">
        <v>12</v>
      </c>
      <c r="E5650" s="5" t="s">
        <v>3962</v>
      </c>
    </row>
    <row r="5651" spans="1:5" x14ac:dyDescent="0.25">
      <c r="A5651" s="5">
        <f>5643</f>
      </c>
      <c r="B5651" s="5" t="s">
        <v>4893</v>
      </c>
      <c r="C5651" s="5" t="s">
        <v>11</v>
      </c>
      <c r="D5651" s="5" t="s">
        <v>12</v>
      </c>
      <c r="E5651" s="5" t="s">
        <v>3962</v>
      </c>
    </row>
    <row r="5652" spans="1:5" x14ac:dyDescent="0.25">
      <c r="A5652" s="5">
        <f>5644</f>
      </c>
      <c r="B5652" s="5" t="s">
        <v>4894</v>
      </c>
      <c r="C5652" s="5" t="s">
        <v>11</v>
      </c>
      <c r="D5652" s="5" t="s">
        <v>12</v>
      </c>
      <c r="E5652" s="5" t="s">
        <v>3962</v>
      </c>
    </row>
    <row r="5653" spans="1:5" x14ac:dyDescent="0.25">
      <c r="A5653" s="5">
        <f>5645</f>
      </c>
      <c r="B5653" s="5" t="s">
        <v>4895</v>
      </c>
      <c r="C5653" s="5" t="s">
        <v>11</v>
      </c>
      <c r="D5653" s="5" t="s">
        <v>12</v>
      </c>
      <c r="E5653" s="5" t="s">
        <v>3962</v>
      </c>
    </row>
    <row r="5654" spans="1:5" x14ac:dyDescent="0.25">
      <c r="A5654" s="5">
        <f>5646</f>
      </c>
      <c r="B5654" s="5" t="s">
        <v>4896</v>
      </c>
      <c r="C5654" s="5" t="s">
        <v>11</v>
      </c>
      <c r="D5654" s="5" t="s">
        <v>12</v>
      </c>
      <c r="E5654" s="5" t="s">
        <v>3962</v>
      </c>
    </row>
    <row r="5655" spans="1:5" x14ac:dyDescent="0.25">
      <c r="A5655" s="5">
        <f>5647</f>
      </c>
      <c r="B5655" s="5" t="s">
        <v>4897</v>
      </c>
      <c r="C5655" s="5" t="s">
        <v>11</v>
      </c>
      <c r="D5655" s="5" t="s">
        <v>12</v>
      </c>
      <c r="E5655" s="5" t="s">
        <v>3962</v>
      </c>
    </row>
    <row r="5656" spans="1:5" x14ac:dyDescent="0.25">
      <c r="A5656" s="5">
        <f>5648</f>
      </c>
      <c r="B5656" s="5" t="s">
        <v>4898</v>
      </c>
      <c r="C5656" s="5" t="s">
        <v>11</v>
      </c>
      <c r="D5656" s="5" t="s">
        <v>12</v>
      </c>
      <c r="E5656" s="5" t="s">
        <v>3962</v>
      </c>
    </row>
    <row r="5657" spans="1:5" x14ac:dyDescent="0.25">
      <c r="A5657" s="5">
        <f>5649</f>
      </c>
      <c r="B5657" s="5" t="s">
        <v>4899</v>
      </c>
      <c r="C5657" s="5" t="s">
        <v>11</v>
      </c>
      <c r="D5657" s="5" t="s">
        <v>12</v>
      </c>
      <c r="E5657" s="5" t="s">
        <v>3962</v>
      </c>
    </row>
    <row r="5658" spans="1:5" x14ac:dyDescent="0.25">
      <c r="A5658" s="5">
        <f>5650</f>
      </c>
      <c r="B5658" s="5" t="s">
        <v>4900</v>
      </c>
      <c r="C5658" s="5" t="s">
        <v>11</v>
      </c>
      <c r="D5658" s="5" t="s">
        <v>12</v>
      </c>
      <c r="E5658" s="5" t="s">
        <v>3962</v>
      </c>
    </row>
    <row r="5659" spans="1:5" x14ac:dyDescent="0.25">
      <c r="A5659" s="5">
        <f>5651</f>
      </c>
      <c r="B5659" s="5" t="s">
        <v>4901</v>
      </c>
      <c r="C5659" s="5" t="s">
        <v>11</v>
      </c>
      <c r="D5659" s="5" t="s">
        <v>12</v>
      </c>
      <c r="E5659" s="5" t="s">
        <v>3962</v>
      </c>
    </row>
    <row r="5660" spans="1:5" x14ac:dyDescent="0.25">
      <c r="A5660" s="5">
        <f>5652</f>
      </c>
      <c r="B5660" s="5" t="s">
        <v>4902</v>
      </c>
      <c r="C5660" s="5" t="s">
        <v>11</v>
      </c>
      <c r="D5660" s="5" t="s">
        <v>12</v>
      </c>
      <c r="E5660" s="5" t="s">
        <v>3962</v>
      </c>
    </row>
    <row r="5661" spans="1:5" x14ac:dyDescent="0.25">
      <c r="A5661" s="5">
        <f>5653</f>
      </c>
      <c r="B5661" s="5" t="s">
        <v>4903</v>
      </c>
      <c r="C5661" s="5" t="s">
        <v>11</v>
      </c>
      <c r="D5661" s="5" t="s">
        <v>12</v>
      </c>
      <c r="E5661" s="5" t="s">
        <v>3962</v>
      </c>
    </row>
    <row r="5662" spans="1:5" x14ac:dyDescent="0.25">
      <c r="A5662" s="5">
        <f>5654</f>
      </c>
      <c r="B5662" s="5" t="s">
        <v>4904</v>
      </c>
      <c r="C5662" s="5" t="s">
        <v>11</v>
      </c>
      <c r="D5662" s="5" t="s">
        <v>12</v>
      </c>
      <c r="E5662" s="5" t="s">
        <v>3962</v>
      </c>
    </row>
    <row r="5663" spans="1:5" x14ac:dyDescent="0.25">
      <c r="A5663" s="5">
        <f>5655</f>
      </c>
      <c r="B5663" s="5" t="s">
        <v>4905</v>
      </c>
      <c r="C5663" s="5" t="s">
        <v>11</v>
      </c>
      <c r="D5663" s="5" t="s">
        <v>12</v>
      </c>
      <c r="E5663" s="5" t="s">
        <v>3962</v>
      </c>
    </row>
    <row r="5664" spans="1:5" x14ac:dyDescent="0.25">
      <c r="A5664" s="5">
        <f>5656</f>
      </c>
      <c r="B5664" s="5" t="s">
        <v>4906</v>
      </c>
      <c r="C5664" s="5" t="s">
        <v>11</v>
      </c>
      <c r="D5664" s="5" t="s">
        <v>12</v>
      </c>
      <c r="E5664" s="5" t="s">
        <v>3962</v>
      </c>
    </row>
    <row r="5665" spans="1:5" x14ac:dyDescent="0.25">
      <c r="A5665" s="5">
        <f>5657</f>
      </c>
      <c r="B5665" s="5" t="s">
        <v>4907</v>
      </c>
      <c r="C5665" s="5" t="s">
        <v>11</v>
      </c>
      <c r="D5665" s="5" t="s">
        <v>12</v>
      </c>
      <c r="E5665" s="5" t="s">
        <v>3962</v>
      </c>
    </row>
    <row r="5666" spans="1:5" x14ac:dyDescent="0.25">
      <c r="A5666" s="5">
        <f>5658</f>
      </c>
      <c r="B5666" s="5" t="s">
        <v>4908</v>
      </c>
      <c r="C5666" s="5" t="s">
        <v>11</v>
      </c>
      <c r="D5666" s="5" t="s">
        <v>12</v>
      </c>
      <c r="E5666" s="5" t="s">
        <v>3962</v>
      </c>
    </row>
    <row r="5667" spans="1:5" x14ac:dyDescent="0.25">
      <c r="A5667" s="5">
        <f>5659</f>
      </c>
      <c r="B5667" s="5" t="s">
        <v>4909</v>
      </c>
      <c r="C5667" s="5" t="s">
        <v>11</v>
      </c>
      <c r="D5667" s="5" t="s">
        <v>12</v>
      </c>
      <c r="E5667" s="5" t="s">
        <v>3962</v>
      </c>
    </row>
    <row r="5668" spans="1:5" x14ac:dyDescent="0.25">
      <c r="A5668" s="5">
        <f>5660</f>
      </c>
      <c r="B5668" s="5" t="s">
        <v>4910</v>
      </c>
      <c r="C5668" s="5" t="s">
        <v>11</v>
      </c>
      <c r="D5668" s="5" t="s">
        <v>12</v>
      </c>
      <c r="E5668" s="5" t="s">
        <v>3962</v>
      </c>
    </row>
    <row r="5669" spans="1:5" x14ac:dyDescent="0.25">
      <c r="A5669" s="5">
        <f>5661</f>
      </c>
      <c r="B5669" s="5" t="s">
        <v>4911</v>
      </c>
      <c r="C5669" s="5" t="s">
        <v>11</v>
      </c>
      <c r="D5669" s="5" t="s">
        <v>12</v>
      </c>
      <c r="E5669" s="5" t="s">
        <v>3962</v>
      </c>
    </row>
    <row r="5670" spans="1:5" x14ac:dyDescent="0.25">
      <c r="A5670" s="5">
        <f>5662</f>
      </c>
      <c r="B5670" s="5" t="s">
        <v>4912</v>
      </c>
      <c r="C5670" s="5" t="s">
        <v>11</v>
      </c>
      <c r="D5670" s="5" t="s">
        <v>12</v>
      </c>
      <c r="E5670" s="5" t="s">
        <v>3962</v>
      </c>
    </row>
    <row r="5671" spans="1:5" x14ac:dyDescent="0.25">
      <c r="A5671" s="5">
        <f>5663</f>
      </c>
      <c r="B5671" s="5" t="s">
        <v>4913</v>
      </c>
      <c r="C5671" s="5" t="s">
        <v>11</v>
      </c>
      <c r="D5671" s="5" t="s">
        <v>12</v>
      </c>
      <c r="E5671" s="5" t="s">
        <v>3962</v>
      </c>
    </row>
    <row r="5672" spans="1:5" x14ac:dyDescent="0.25">
      <c r="A5672" s="5">
        <f>5664</f>
      </c>
      <c r="B5672" s="5" t="s">
        <v>4914</v>
      </c>
      <c r="C5672" s="5" t="s">
        <v>11</v>
      </c>
      <c r="D5672" s="5" t="s">
        <v>12</v>
      </c>
      <c r="E5672" s="5" t="s">
        <v>3962</v>
      </c>
    </row>
    <row r="5673" spans="1:5" x14ac:dyDescent="0.25">
      <c r="A5673" s="5">
        <f>5665</f>
      </c>
      <c r="B5673" s="5" t="s">
        <v>4915</v>
      </c>
      <c r="C5673" s="5" t="s">
        <v>11</v>
      </c>
      <c r="D5673" s="5" t="s">
        <v>12</v>
      </c>
      <c r="E5673" s="5" t="s">
        <v>3962</v>
      </c>
    </row>
    <row r="5674" spans="1:5" x14ac:dyDescent="0.25">
      <c r="A5674" s="5">
        <f>5666</f>
      </c>
      <c r="B5674" s="5" t="s">
        <v>4916</v>
      </c>
      <c r="C5674" s="5" t="s">
        <v>11</v>
      </c>
      <c r="D5674" s="5" t="s">
        <v>12</v>
      </c>
      <c r="E5674" s="5" t="s">
        <v>3962</v>
      </c>
    </row>
    <row r="5675" spans="1:5" x14ac:dyDescent="0.25">
      <c r="A5675" s="5">
        <f>5667</f>
      </c>
      <c r="B5675" s="5" t="s">
        <v>4917</v>
      </c>
      <c r="C5675" s="5" t="s">
        <v>11</v>
      </c>
      <c r="D5675" s="5" t="s">
        <v>12</v>
      </c>
      <c r="E5675" s="5" t="s">
        <v>3962</v>
      </c>
    </row>
    <row r="5676" spans="1:5" x14ac:dyDescent="0.25">
      <c r="A5676" s="5">
        <f>5668</f>
      </c>
      <c r="B5676" s="5" t="s">
        <v>4918</v>
      </c>
      <c r="C5676" s="5" t="s">
        <v>11</v>
      </c>
      <c r="D5676" s="5" t="s">
        <v>12</v>
      </c>
      <c r="E5676" s="5" t="s">
        <v>3962</v>
      </c>
    </row>
    <row r="5677" spans="1:5" x14ac:dyDescent="0.25">
      <c r="A5677" s="5">
        <f>5669</f>
      </c>
      <c r="B5677" s="5" t="s">
        <v>4919</v>
      </c>
      <c r="C5677" s="5" t="s">
        <v>11</v>
      </c>
      <c r="D5677" s="5" t="s">
        <v>12</v>
      </c>
      <c r="E5677" s="5" t="s">
        <v>3962</v>
      </c>
    </row>
    <row r="5678" spans="1:5" x14ac:dyDescent="0.25">
      <c r="A5678" s="5">
        <f>5670</f>
      </c>
      <c r="B5678" s="5" t="s">
        <v>4920</v>
      </c>
      <c r="C5678" s="5" t="s">
        <v>11</v>
      </c>
      <c r="D5678" s="5" t="s">
        <v>12</v>
      </c>
      <c r="E5678" s="5" t="s">
        <v>3962</v>
      </c>
    </row>
    <row r="5679" spans="1:5" x14ac:dyDescent="0.25">
      <c r="A5679" s="5">
        <f>5671</f>
      </c>
      <c r="B5679" s="5" t="s">
        <v>4921</v>
      </c>
      <c r="C5679" s="5" t="s">
        <v>11</v>
      </c>
      <c r="D5679" s="5" t="s">
        <v>12</v>
      </c>
      <c r="E5679" s="5" t="s">
        <v>3962</v>
      </c>
    </row>
    <row r="5680" spans="1:5" x14ac:dyDescent="0.25">
      <c r="A5680" s="5">
        <f>5672</f>
      </c>
      <c r="B5680" s="5" t="s">
        <v>4922</v>
      </c>
      <c r="C5680" s="5" t="s">
        <v>11</v>
      </c>
      <c r="D5680" s="5" t="s">
        <v>12</v>
      </c>
      <c r="E5680" s="5" t="s">
        <v>3962</v>
      </c>
    </row>
    <row r="5681" spans="1:5" x14ac:dyDescent="0.25">
      <c r="A5681" s="5">
        <f>5673</f>
      </c>
      <c r="B5681" s="5" t="s">
        <v>4923</v>
      </c>
      <c r="C5681" s="5" t="s">
        <v>11</v>
      </c>
      <c r="D5681" s="5" t="s">
        <v>12</v>
      </c>
      <c r="E5681" s="5" t="s">
        <v>3962</v>
      </c>
    </row>
    <row r="5682" spans="1:5" x14ac:dyDescent="0.25">
      <c r="A5682" s="5">
        <f>5674</f>
      </c>
      <c r="B5682" s="5" t="s">
        <v>4924</v>
      </c>
      <c r="C5682" s="5" t="s">
        <v>11</v>
      </c>
      <c r="D5682" s="5" t="s">
        <v>12</v>
      </c>
      <c r="E5682" s="5" t="s">
        <v>3962</v>
      </c>
    </row>
    <row r="5683" spans="1:5" x14ac:dyDescent="0.25">
      <c r="A5683" s="5">
        <f>5675</f>
      </c>
      <c r="B5683" s="5" t="s">
        <v>4925</v>
      </c>
      <c r="C5683" s="5" t="s">
        <v>11</v>
      </c>
      <c r="D5683" s="5" t="s">
        <v>12</v>
      </c>
      <c r="E5683" s="5" t="s">
        <v>3962</v>
      </c>
    </row>
    <row r="5684" spans="1:5" x14ac:dyDescent="0.25">
      <c r="A5684" s="5">
        <f>5676</f>
      </c>
      <c r="B5684" s="5" t="s">
        <v>4926</v>
      </c>
      <c r="C5684" s="5" t="s">
        <v>11</v>
      </c>
      <c r="D5684" s="5" t="s">
        <v>12</v>
      </c>
      <c r="E5684" s="5" t="s">
        <v>3962</v>
      </c>
    </row>
    <row r="5685" spans="1:5" x14ac:dyDescent="0.25">
      <c r="A5685" s="5">
        <f>5677</f>
      </c>
      <c r="B5685" s="5" t="s">
        <v>4927</v>
      </c>
      <c r="C5685" s="5" t="s">
        <v>11</v>
      </c>
      <c r="D5685" s="5" t="s">
        <v>12</v>
      </c>
      <c r="E5685" s="5" t="s">
        <v>3962</v>
      </c>
    </row>
    <row r="5686" spans="1:5" x14ac:dyDescent="0.25">
      <c r="A5686" s="5">
        <f>5678</f>
      </c>
      <c r="B5686" s="5" t="s">
        <v>4928</v>
      </c>
      <c r="C5686" s="5" t="s">
        <v>11</v>
      </c>
      <c r="D5686" s="5" t="s">
        <v>12</v>
      </c>
      <c r="E5686" s="5" t="s">
        <v>3962</v>
      </c>
    </row>
    <row r="5687" spans="1:5" x14ac:dyDescent="0.25">
      <c r="A5687" s="5">
        <f>5679</f>
      </c>
      <c r="B5687" s="5" t="s">
        <v>4929</v>
      </c>
      <c r="C5687" s="5" t="s">
        <v>11</v>
      </c>
      <c r="D5687" s="5" t="s">
        <v>12</v>
      </c>
      <c r="E5687" s="5" t="s">
        <v>3962</v>
      </c>
    </row>
    <row r="5688" spans="1:5" x14ac:dyDescent="0.25">
      <c r="A5688" s="5">
        <f>5680</f>
      </c>
      <c r="B5688" s="5" t="s">
        <v>4930</v>
      </c>
      <c r="C5688" s="5" t="s">
        <v>11</v>
      </c>
      <c r="D5688" s="5" t="s">
        <v>12</v>
      </c>
      <c r="E5688" s="5" t="s">
        <v>3962</v>
      </c>
    </row>
    <row r="5689" spans="1:5" x14ac:dyDescent="0.25">
      <c r="A5689" s="5">
        <f>5681</f>
      </c>
      <c r="B5689" s="5" t="s">
        <v>4931</v>
      </c>
      <c r="C5689" s="5" t="s">
        <v>11</v>
      </c>
      <c r="D5689" s="5" t="s">
        <v>12</v>
      </c>
      <c r="E5689" s="5" t="s">
        <v>3962</v>
      </c>
    </row>
    <row r="5690" spans="1:5" x14ac:dyDescent="0.25">
      <c r="A5690" s="5">
        <f>5682</f>
      </c>
      <c r="B5690" s="5" t="s">
        <v>4932</v>
      </c>
      <c r="C5690" s="5" t="s">
        <v>11</v>
      </c>
      <c r="D5690" s="5" t="s">
        <v>12</v>
      </c>
      <c r="E5690" s="5" t="s">
        <v>3962</v>
      </c>
    </row>
    <row r="5691" spans="1:5" x14ac:dyDescent="0.25">
      <c r="A5691" s="5">
        <f>5683</f>
      </c>
      <c r="B5691" s="5" t="s">
        <v>4933</v>
      </c>
      <c r="C5691" s="5" t="s">
        <v>11</v>
      </c>
      <c r="D5691" s="5" t="s">
        <v>12</v>
      </c>
      <c r="E5691" s="5" t="s">
        <v>3962</v>
      </c>
    </row>
    <row r="5692" spans="1:5" x14ac:dyDescent="0.25">
      <c r="A5692" s="5">
        <f>5684</f>
      </c>
      <c r="B5692" s="5" t="s">
        <v>4934</v>
      </c>
      <c r="C5692" s="5" t="s">
        <v>11</v>
      </c>
      <c r="D5692" s="5" t="s">
        <v>12</v>
      </c>
      <c r="E5692" s="5" t="s">
        <v>3962</v>
      </c>
    </row>
    <row r="5693" spans="1:5" x14ac:dyDescent="0.25">
      <c r="A5693" s="5">
        <f>5685</f>
      </c>
      <c r="B5693" s="5" t="s">
        <v>4935</v>
      </c>
      <c r="C5693" s="5" t="s">
        <v>11</v>
      </c>
      <c r="D5693" s="5" t="s">
        <v>12</v>
      </c>
      <c r="E5693" s="5" t="s">
        <v>3962</v>
      </c>
    </row>
    <row r="5694" spans="1:5" x14ac:dyDescent="0.25">
      <c r="A5694" s="5">
        <f>5686</f>
      </c>
      <c r="B5694" s="5" t="s">
        <v>4936</v>
      </c>
      <c r="C5694" s="5" t="s">
        <v>11</v>
      </c>
      <c r="D5694" s="5" t="s">
        <v>12</v>
      </c>
      <c r="E5694" s="5" t="s">
        <v>3962</v>
      </c>
    </row>
    <row r="5695" spans="1:5" x14ac:dyDescent="0.25">
      <c r="A5695" s="5">
        <f>5687</f>
      </c>
      <c r="B5695" s="5" t="s">
        <v>4937</v>
      </c>
      <c r="C5695" s="5" t="s">
        <v>11</v>
      </c>
      <c r="D5695" s="5" t="s">
        <v>12</v>
      </c>
      <c r="E5695" s="5" t="s">
        <v>3962</v>
      </c>
    </row>
    <row r="5696" spans="1:5" x14ac:dyDescent="0.25">
      <c r="A5696" s="5">
        <f>5688</f>
      </c>
      <c r="B5696" s="5" t="s">
        <v>4938</v>
      </c>
      <c r="C5696" s="5" t="s">
        <v>11</v>
      </c>
      <c r="D5696" s="5" t="s">
        <v>12</v>
      </c>
      <c r="E5696" s="5" t="s">
        <v>3962</v>
      </c>
    </row>
    <row r="5697" spans="1:5" x14ac:dyDescent="0.25">
      <c r="A5697" s="5">
        <f>5689</f>
      </c>
      <c r="B5697" s="5" t="s">
        <v>4939</v>
      </c>
      <c r="C5697" s="5" t="s">
        <v>11</v>
      </c>
      <c r="D5697" s="5" t="s">
        <v>12</v>
      </c>
      <c r="E5697" s="5" t="s">
        <v>3962</v>
      </c>
    </row>
    <row r="5698" spans="1:5" x14ac:dyDescent="0.25">
      <c r="A5698" s="5">
        <f>5690</f>
      </c>
      <c r="B5698" s="5" t="s">
        <v>4940</v>
      </c>
      <c r="C5698" s="5" t="s">
        <v>11</v>
      </c>
      <c r="D5698" s="5" t="s">
        <v>12</v>
      </c>
      <c r="E5698" s="5" t="s">
        <v>3962</v>
      </c>
    </row>
    <row r="5699" spans="1:5" x14ac:dyDescent="0.25">
      <c r="A5699" s="5">
        <f>5691</f>
      </c>
      <c r="B5699" s="5" t="s">
        <v>4941</v>
      </c>
      <c r="C5699" s="5" t="s">
        <v>11</v>
      </c>
      <c r="D5699" s="5" t="s">
        <v>12</v>
      </c>
      <c r="E5699" s="5" t="s">
        <v>3962</v>
      </c>
    </row>
    <row r="5700" spans="1:5" x14ac:dyDescent="0.25">
      <c r="A5700" s="5">
        <f>5692</f>
      </c>
      <c r="B5700" s="5" t="s">
        <v>4942</v>
      </c>
      <c r="C5700" s="5" t="s">
        <v>11</v>
      </c>
      <c r="D5700" s="5" t="s">
        <v>12</v>
      </c>
      <c r="E5700" s="5" t="s">
        <v>3962</v>
      </c>
    </row>
    <row r="5701" spans="1:5" x14ac:dyDescent="0.25">
      <c r="A5701" s="5">
        <f>5693</f>
      </c>
      <c r="B5701" s="5" t="s">
        <v>4943</v>
      </c>
      <c r="C5701" s="5" t="s">
        <v>11</v>
      </c>
      <c r="D5701" s="5" t="s">
        <v>12</v>
      </c>
      <c r="E5701" s="5" t="s">
        <v>3962</v>
      </c>
    </row>
    <row r="5702" spans="1:5" x14ac:dyDescent="0.25">
      <c r="A5702" s="5">
        <f>5694</f>
      </c>
      <c r="B5702" s="5" t="s">
        <v>4944</v>
      </c>
      <c r="C5702" s="5" t="s">
        <v>11</v>
      </c>
      <c r="D5702" s="5" t="s">
        <v>12</v>
      </c>
      <c r="E5702" s="5" t="s">
        <v>3962</v>
      </c>
    </row>
    <row r="5703" spans="1:5" x14ac:dyDescent="0.25">
      <c r="A5703" s="5">
        <f>5695</f>
      </c>
      <c r="B5703" s="5" t="s">
        <v>4945</v>
      </c>
      <c r="C5703" s="5" t="s">
        <v>11</v>
      </c>
      <c r="D5703" s="5" t="s">
        <v>12</v>
      </c>
      <c r="E5703" s="5" t="s">
        <v>3962</v>
      </c>
    </row>
    <row r="5704" spans="1:5" x14ac:dyDescent="0.25">
      <c r="A5704" s="5">
        <f>5696</f>
      </c>
      <c r="B5704" s="5" t="s">
        <v>4946</v>
      </c>
      <c r="C5704" s="5" t="s">
        <v>11</v>
      </c>
      <c r="D5704" s="5" t="s">
        <v>12</v>
      </c>
      <c r="E5704" s="5" t="s">
        <v>3962</v>
      </c>
    </row>
    <row r="5705" spans="1:5" x14ac:dyDescent="0.25">
      <c r="A5705" s="5">
        <f>5697</f>
      </c>
      <c r="B5705" s="5" t="s">
        <v>4947</v>
      </c>
      <c r="C5705" s="5" t="s">
        <v>11</v>
      </c>
      <c r="D5705" s="5" t="s">
        <v>12</v>
      </c>
      <c r="E5705" s="5" t="s">
        <v>3962</v>
      </c>
    </row>
    <row r="5706" spans="1:5" x14ac:dyDescent="0.25">
      <c r="A5706" s="5">
        <f>5698</f>
      </c>
      <c r="B5706" s="5" t="s">
        <v>4948</v>
      </c>
      <c r="C5706" s="5" t="s">
        <v>11</v>
      </c>
      <c r="D5706" s="5" t="s">
        <v>12</v>
      </c>
      <c r="E5706" s="5" t="s">
        <v>3962</v>
      </c>
    </row>
    <row r="5707" spans="1:5" x14ac:dyDescent="0.25">
      <c r="A5707" s="5">
        <f>5699</f>
      </c>
      <c r="B5707" s="5" t="s">
        <v>4949</v>
      </c>
      <c r="C5707" s="5" t="s">
        <v>11</v>
      </c>
      <c r="D5707" s="5" t="s">
        <v>12</v>
      </c>
      <c r="E5707" s="5" t="s">
        <v>3962</v>
      </c>
    </row>
    <row r="5708" spans="1:5" x14ac:dyDescent="0.25">
      <c r="A5708" s="5">
        <f>5700</f>
      </c>
      <c r="B5708" s="5" t="s">
        <v>4950</v>
      </c>
      <c r="C5708" s="5" t="s">
        <v>11</v>
      </c>
      <c r="D5708" s="5" t="s">
        <v>12</v>
      </c>
      <c r="E5708" s="5" t="s">
        <v>3962</v>
      </c>
    </row>
    <row r="5709" spans="1:5" x14ac:dyDescent="0.25">
      <c r="A5709" s="5">
        <f>5701</f>
      </c>
      <c r="B5709" s="5" t="s">
        <v>4951</v>
      </c>
      <c r="C5709" s="5" t="s">
        <v>11</v>
      </c>
      <c r="D5709" s="5" t="s">
        <v>12</v>
      </c>
      <c r="E5709" s="5" t="s">
        <v>3962</v>
      </c>
    </row>
    <row r="5710" spans="1:5" x14ac:dyDescent="0.25">
      <c r="A5710" s="5">
        <f>5702</f>
      </c>
      <c r="B5710" s="5" t="s">
        <v>4952</v>
      </c>
      <c r="C5710" s="5" t="s">
        <v>11</v>
      </c>
      <c r="D5710" s="5" t="s">
        <v>12</v>
      </c>
      <c r="E5710" s="5" t="s">
        <v>3962</v>
      </c>
    </row>
    <row r="5711" spans="1:5" x14ac:dyDescent="0.25">
      <c r="A5711" s="5">
        <f>5703</f>
      </c>
      <c r="B5711" s="5" t="s">
        <v>4953</v>
      </c>
      <c r="C5711" s="5" t="s">
        <v>11</v>
      </c>
      <c r="D5711" s="5" t="s">
        <v>12</v>
      </c>
      <c r="E5711" s="5" t="s">
        <v>3962</v>
      </c>
    </row>
    <row r="5712" spans="1:5" x14ac:dyDescent="0.25">
      <c r="A5712" s="5">
        <f>5704</f>
      </c>
      <c r="B5712" s="5" t="s">
        <v>4954</v>
      </c>
      <c r="C5712" s="5" t="s">
        <v>11</v>
      </c>
      <c r="D5712" s="5" t="s">
        <v>12</v>
      </c>
      <c r="E5712" s="5" t="s">
        <v>3962</v>
      </c>
    </row>
    <row r="5713" spans="1:5" x14ac:dyDescent="0.25">
      <c r="A5713" s="5">
        <f>5705</f>
      </c>
      <c r="B5713" s="5" t="s">
        <v>4955</v>
      </c>
      <c r="C5713" s="5" t="s">
        <v>11</v>
      </c>
      <c r="D5713" s="5" t="s">
        <v>12</v>
      </c>
      <c r="E5713" s="5" t="s">
        <v>3962</v>
      </c>
    </row>
    <row r="5714" spans="1:5" x14ac:dyDescent="0.25">
      <c r="A5714" s="5">
        <f>5706</f>
      </c>
      <c r="B5714" s="5" t="s">
        <v>4956</v>
      </c>
      <c r="C5714" s="5" t="s">
        <v>11</v>
      </c>
      <c r="D5714" s="5" t="s">
        <v>12</v>
      </c>
      <c r="E5714" s="5" t="s">
        <v>3962</v>
      </c>
    </row>
    <row r="5715" spans="1:5" x14ac:dyDescent="0.25">
      <c r="A5715" s="5">
        <f>5707</f>
      </c>
      <c r="B5715" s="5" t="s">
        <v>4957</v>
      </c>
      <c r="C5715" s="5" t="s">
        <v>11</v>
      </c>
      <c r="D5715" s="5" t="s">
        <v>12</v>
      </c>
      <c r="E5715" s="5" t="s">
        <v>3962</v>
      </c>
    </row>
    <row r="5716" spans="1:5" x14ac:dyDescent="0.25">
      <c r="A5716" s="5">
        <f>5708</f>
      </c>
      <c r="B5716" s="5" t="s">
        <v>4958</v>
      </c>
      <c r="C5716" s="5" t="s">
        <v>11</v>
      </c>
      <c r="D5716" s="5" t="s">
        <v>12</v>
      </c>
      <c r="E5716" s="5" t="s">
        <v>3962</v>
      </c>
    </row>
    <row r="5717" spans="1:5" x14ac:dyDescent="0.25">
      <c r="A5717" s="5">
        <f>5709</f>
      </c>
      <c r="B5717" s="5" t="s">
        <v>4959</v>
      </c>
      <c r="C5717" s="5" t="s">
        <v>11</v>
      </c>
      <c r="D5717" s="5" t="s">
        <v>12</v>
      </c>
      <c r="E5717" s="5" t="s">
        <v>3962</v>
      </c>
    </row>
    <row r="5718" spans="1:5" x14ac:dyDescent="0.25">
      <c r="A5718" s="5">
        <f>5710</f>
      </c>
      <c r="B5718" s="5" t="s">
        <v>4960</v>
      </c>
      <c r="C5718" s="5" t="s">
        <v>11</v>
      </c>
      <c r="D5718" s="5" t="s">
        <v>12</v>
      </c>
      <c r="E5718" s="5" t="s">
        <v>3962</v>
      </c>
    </row>
    <row r="5719" spans="1:5" x14ac:dyDescent="0.25">
      <c r="A5719" s="5">
        <f>5711</f>
      </c>
      <c r="B5719" s="5" t="s">
        <v>4961</v>
      </c>
      <c r="C5719" s="5" t="s">
        <v>11</v>
      </c>
      <c r="D5719" s="5" t="s">
        <v>12</v>
      </c>
      <c r="E5719" s="5" t="s">
        <v>3962</v>
      </c>
    </row>
    <row r="5720" spans="1:5" x14ac:dyDescent="0.25">
      <c r="A5720" s="5">
        <f>5712</f>
      </c>
      <c r="B5720" s="5" t="s">
        <v>4962</v>
      </c>
      <c r="C5720" s="5" t="s">
        <v>11</v>
      </c>
      <c r="D5720" s="5" t="s">
        <v>12</v>
      </c>
      <c r="E5720" s="5" t="s">
        <v>3962</v>
      </c>
    </row>
    <row r="5721" spans="1:5" x14ac:dyDescent="0.25">
      <c r="A5721" s="5">
        <f>5713</f>
      </c>
      <c r="B5721" s="5" t="s">
        <v>4963</v>
      </c>
      <c r="C5721" s="5" t="s">
        <v>11</v>
      </c>
      <c r="D5721" s="5" t="s">
        <v>12</v>
      </c>
      <c r="E5721" s="5" t="s">
        <v>3962</v>
      </c>
    </row>
    <row r="5722" spans="1:5" x14ac:dyDescent="0.25">
      <c r="A5722" s="5">
        <f>5714</f>
      </c>
      <c r="B5722" s="5" t="s">
        <v>4964</v>
      </c>
      <c r="C5722" s="5" t="s">
        <v>11</v>
      </c>
      <c r="D5722" s="5" t="s">
        <v>12</v>
      </c>
      <c r="E5722" s="5" t="s">
        <v>3962</v>
      </c>
    </row>
    <row r="5723" spans="1:5" x14ac:dyDescent="0.25">
      <c r="A5723" s="5">
        <f>5715</f>
      </c>
      <c r="B5723" s="5" t="s">
        <v>4965</v>
      </c>
      <c r="C5723" s="5" t="s">
        <v>11</v>
      </c>
      <c r="D5723" s="5" t="s">
        <v>12</v>
      </c>
      <c r="E5723" s="5" t="s">
        <v>3962</v>
      </c>
    </row>
    <row r="5724" spans="1:5" x14ac:dyDescent="0.25">
      <c r="A5724" s="5">
        <f>5716</f>
      </c>
      <c r="B5724" s="5" t="s">
        <v>4966</v>
      </c>
      <c r="C5724" s="5" t="s">
        <v>11</v>
      </c>
      <c r="D5724" s="5" t="s">
        <v>12</v>
      </c>
      <c r="E5724" s="5" t="s">
        <v>3962</v>
      </c>
    </row>
    <row r="5725" spans="1:5" x14ac:dyDescent="0.25">
      <c r="A5725" s="5">
        <f>5717</f>
      </c>
      <c r="B5725" s="5" t="s">
        <v>4967</v>
      </c>
      <c r="C5725" s="5" t="s">
        <v>11</v>
      </c>
      <c r="D5725" s="5" t="s">
        <v>12</v>
      </c>
      <c r="E5725" s="5" t="s">
        <v>3962</v>
      </c>
    </row>
    <row r="5726" spans="1:5" x14ac:dyDescent="0.25">
      <c r="A5726" s="5">
        <f>5718</f>
      </c>
      <c r="B5726" s="5" t="s">
        <v>4968</v>
      </c>
      <c r="C5726" s="5" t="s">
        <v>11</v>
      </c>
      <c r="D5726" s="5" t="s">
        <v>12</v>
      </c>
      <c r="E5726" s="5" t="s">
        <v>3962</v>
      </c>
    </row>
    <row r="5727" spans="1:5" x14ac:dyDescent="0.25">
      <c r="A5727" s="5">
        <f>5719</f>
      </c>
      <c r="B5727" s="5" t="s">
        <v>4969</v>
      </c>
      <c r="C5727" s="5" t="s">
        <v>11</v>
      </c>
      <c r="D5727" s="5" t="s">
        <v>12</v>
      </c>
      <c r="E5727" s="5" t="s">
        <v>3962</v>
      </c>
    </row>
    <row r="5728" spans="1:5" x14ac:dyDescent="0.25">
      <c r="A5728" s="5">
        <f>5720</f>
      </c>
      <c r="B5728" s="5" t="s">
        <v>4970</v>
      </c>
      <c r="C5728" s="5" t="s">
        <v>11</v>
      </c>
      <c r="D5728" s="5" t="s">
        <v>12</v>
      </c>
      <c r="E5728" s="5" t="s">
        <v>3962</v>
      </c>
    </row>
    <row r="5729" spans="1:5" x14ac:dyDescent="0.25">
      <c r="A5729" s="5">
        <f>5721</f>
      </c>
      <c r="B5729" s="5" t="s">
        <v>4971</v>
      </c>
      <c r="C5729" s="5" t="s">
        <v>11</v>
      </c>
      <c r="D5729" s="5" t="s">
        <v>12</v>
      </c>
      <c r="E5729" s="5" t="s">
        <v>3962</v>
      </c>
    </row>
    <row r="5730" spans="1:5" x14ac:dyDescent="0.25">
      <c r="A5730" s="5">
        <f>5722</f>
      </c>
      <c r="B5730" s="5" t="s">
        <v>4972</v>
      </c>
      <c r="C5730" s="5" t="s">
        <v>11</v>
      </c>
      <c r="D5730" s="5" t="s">
        <v>12</v>
      </c>
      <c r="E5730" s="5" t="s">
        <v>3962</v>
      </c>
    </row>
    <row r="5731" spans="1:5" x14ac:dyDescent="0.25">
      <c r="A5731" s="5">
        <f>5723</f>
      </c>
      <c r="B5731" s="5" t="s">
        <v>4973</v>
      </c>
      <c r="C5731" s="5" t="s">
        <v>11</v>
      </c>
      <c r="D5731" s="5" t="s">
        <v>12</v>
      </c>
      <c r="E5731" s="5" t="s">
        <v>3962</v>
      </c>
    </row>
    <row r="5732" spans="1:5" x14ac:dyDescent="0.25">
      <c r="A5732" s="5">
        <f>5724</f>
      </c>
      <c r="B5732" s="5" t="s">
        <v>4974</v>
      </c>
      <c r="C5732" s="5" t="s">
        <v>11</v>
      </c>
      <c r="D5732" s="5" t="s">
        <v>12</v>
      </c>
      <c r="E5732" s="5" t="s">
        <v>3962</v>
      </c>
    </row>
    <row r="5733" spans="1:5" x14ac:dyDescent="0.25">
      <c r="A5733" s="5">
        <f>5725</f>
      </c>
      <c r="B5733" s="5" t="s">
        <v>4975</v>
      </c>
      <c r="C5733" s="5" t="s">
        <v>11</v>
      </c>
      <c r="D5733" s="5" t="s">
        <v>12</v>
      </c>
      <c r="E5733" s="5" t="s">
        <v>3962</v>
      </c>
    </row>
    <row r="5734" spans="1:5" x14ac:dyDescent="0.25">
      <c r="A5734" s="5">
        <f>5726</f>
      </c>
      <c r="B5734" s="5" t="s">
        <v>4976</v>
      </c>
      <c r="C5734" s="5" t="s">
        <v>11</v>
      </c>
      <c r="D5734" s="5" t="s">
        <v>12</v>
      </c>
      <c r="E5734" s="5" t="s">
        <v>3962</v>
      </c>
    </row>
    <row r="5735" spans="1:5" x14ac:dyDescent="0.25">
      <c r="A5735" s="5">
        <f>5727</f>
      </c>
      <c r="B5735" s="5" t="s">
        <v>4977</v>
      </c>
      <c r="C5735" s="5" t="s">
        <v>11</v>
      </c>
      <c r="D5735" s="5" t="s">
        <v>12</v>
      </c>
      <c r="E5735" s="5" t="s">
        <v>3962</v>
      </c>
    </row>
    <row r="5736" spans="1:5" x14ac:dyDescent="0.25">
      <c r="A5736" s="5">
        <f>5728</f>
      </c>
      <c r="B5736" s="5" t="s">
        <v>4978</v>
      </c>
      <c r="C5736" s="5" t="s">
        <v>11</v>
      </c>
      <c r="D5736" s="5" t="s">
        <v>12</v>
      </c>
      <c r="E5736" s="5" t="s">
        <v>3962</v>
      </c>
    </row>
    <row r="5737" spans="1:5" x14ac:dyDescent="0.25">
      <c r="A5737" s="5">
        <f>5729</f>
      </c>
      <c r="B5737" s="5" t="s">
        <v>4979</v>
      </c>
      <c r="C5737" s="5" t="s">
        <v>11</v>
      </c>
      <c r="D5737" s="5" t="s">
        <v>12</v>
      </c>
      <c r="E5737" s="5" t="s">
        <v>3962</v>
      </c>
    </row>
    <row r="5738" spans="1:5" x14ac:dyDescent="0.25">
      <c r="A5738" s="5">
        <f>5730</f>
      </c>
      <c r="B5738" s="5" t="s">
        <v>4980</v>
      </c>
      <c r="C5738" s="5" t="s">
        <v>11</v>
      </c>
      <c r="D5738" s="5" t="s">
        <v>12</v>
      </c>
      <c r="E5738" s="5" t="s">
        <v>3962</v>
      </c>
    </row>
    <row r="5739" spans="1:5" x14ac:dyDescent="0.25">
      <c r="A5739" s="5">
        <f>5731</f>
      </c>
      <c r="B5739" s="5" t="s">
        <v>4981</v>
      </c>
      <c r="C5739" s="5" t="s">
        <v>11</v>
      </c>
      <c r="D5739" s="5" t="s">
        <v>12</v>
      </c>
      <c r="E5739" s="5" t="s">
        <v>3962</v>
      </c>
    </row>
    <row r="5740" spans="1:5" x14ac:dyDescent="0.25">
      <c r="A5740" s="5">
        <f>5732</f>
      </c>
      <c r="B5740" s="5" t="s">
        <v>4982</v>
      </c>
      <c r="C5740" s="5" t="s">
        <v>11</v>
      </c>
      <c r="D5740" s="5" t="s">
        <v>12</v>
      </c>
      <c r="E5740" s="5" t="s">
        <v>3962</v>
      </c>
    </row>
    <row r="5741" spans="1:5" x14ac:dyDescent="0.25">
      <c r="A5741" s="5">
        <f>5733</f>
      </c>
      <c r="B5741" s="5" t="s">
        <v>4983</v>
      </c>
      <c r="C5741" s="5" t="s">
        <v>11</v>
      </c>
      <c r="D5741" s="5" t="s">
        <v>12</v>
      </c>
      <c r="E5741" s="5" t="s">
        <v>3962</v>
      </c>
    </row>
    <row r="5742" spans="1:5" x14ac:dyDescent="0.25">
      <c r="A5742" s="5">
        <f>5734</f>
      </c>
      <c r="B5742" s="5" t="s">
        <v>4984</v>
      </c>
      <c r="C5742" s="5" t="s">
        <v>11</v>
      </c>
      <c r="D5742" s="5" t="s">
        <v>12</v>
      </c>
      <c r="E5742" s="5" t="s">
        <v>3962</v>
      </c>
    </row>
    <row r="5743" spans="1:5" x14ac:dyDescent="0.25">
      <c r="A5743" s="5">
        <f>5735</f>
      </c>
      <c r="B5743" s="5" t="s">
        <v>4985</v>
      </c>
      <c r="C5743" s="5" t="s">
        <v>11</v>
      </c>
      <c r="D5743" s="5" t="s">
        <v>12</v>
      </c>
      <c r="E5743" s="5" t="s">
        <v>3962</v>
      </c>
    </row>
    <row r="5744" spans="1:5" x14ac:dyDescent="0.25">
      <c r="A5744" s="5">
        <f>5736</f>
      </c>
      <c r="B5744" s="5" t="s">
        <v>4986</v>
      </c>
      <c r="C5744" s="5" t="s">
        <v>11</v>
      </c>
      <c r="D5744" s="5" t="s">
        <v>12</v>
      </c>
      <c r="E5744" s="5" t="s">
        <v>3962</v>
      </c>
    </row>
    <row r="5745" spans="1:5" x14ac:dyDescent="0.25">
      <c r="A5745" s="5">
        <f>5737</f>
      </c>
      <c r="B5745" s="5" t="s">
        <v>4987</v>
      </c>
      <c r="C5745" s="5" t="s">
        <v>11</v>
      </c>
      <c r="D5745" s="5" t="s">
        <v>12</v>
      </c>
      <c r="E5745" s="5" t="s">
        <v>3962</v>
      </c>
    </row>
    <row r="5746" spans="1:5" x14ac:dyDescent="0.25">
      <c r="A5746" s="5">
        <f>5738</f>
      </c>
      <c r="B5746" s="5" t="s">
        <v>4988</v>
      </c>
      <c r="C5746" s="5" t="s">
        <v>11</v>
      </c>
      <c r="D5746" s="5" t="s">
        <v>12</v>
      </c>
      <c r="E5746" s="5" t="s">
        <v>3962</v>
      </c>
    </row>
    <row r="5747" spans="1:5" x14ac:dyDescent="0.25">
      <c r="A5747" s="5">
        <f>5739</f>
      </c>
      <c r="B5747" s="5" t="s">
        <v>4989</v>
      </c>
      <c r="C5747" s="5" t="s">
        <v>11</v>
      </c>
      <c r="D5747" s="5" t="s">
        <v>12</v>
      </c>
      <c r="E5747" s="5" t="s">
        <v>3962</v>
      </c>
    </row>
    <row r="5748" spans="1:5" x14ac:dyDescent="0.25">
      <c r="A5748" s="5">
        <f>5740</f>
      </c>
      <c r="B5748" s="5" t="s">
        <v>4990</v>
      </c>
      <c r="C5748" s="5" t="s">
        <v>11</v>
      </c>
      <c r="D5748" s="5" t="s">
        <v>12</v>
      </c>
      <c r="E5748" s="5" t="s">
        <v>3962</v>
      </c>
    </row>
    <row r="5749" spans="1:5" x14ac:dyDescent="0.25">
      <c r="A5749" s="5">
        <f>5741</f>
      </c>
      <c r="B5749" s="5" t="s">
        <v>4991</v>
      </c>
      <c r="C5749" s="5" t="s">
        <v>11</v>
      </c>
      <c r="D5749" s="5" t="s">
        <v>12</v>
      </c>
      <c r="E5749" s="5" t="s">
        <v>3962</v>
      </c>
    </row>
    <row r="5750" spans="1:5" x14ac:dyDescent="0.25">
      <c r="A5750" s="5">
        <f>5742</f>
      </c>
      <c r="B5750" s="5" t="s">
        <v>4992</v>
      </c>
      <c r="C5750" s="5" t="s">
        <v>11</v>
      </c>
      <c r="D5750" s="5" t="s">
        <v>12</v>
      </c>
      <c r="E5750" s="5" t="s">
        <v>3962</v>
      </c>
    </row>
    <row r="5751" spans="1:5" x14ac:dyDescent="0.25">
      <c r="A5751" s="5">
        <f>5743</f>
      </c>
      <c r="B5751" s="5" t="s">
        <v>4993</v>
      </c>
      <c r="C5751" s="5" t="s">
        <v>11</v>
      </c>
      <c r="D5751" s="5" t="s">
        <v>12</v>
      </c>
      <c r="E5751" s="5" t="s">
        <v>3962</v>
      </c>
    </row>
    <row r="5752" spans="1:5" x14ac:dyDescent="0.25">
      <c r="A5752" s="5">
        <f>5744</f>
      </c>
      <c r="B5752" s="5" t="s">
        <v>4994</v>
      </c>
      <c r="C5752" s="5" t="s">
        <v>11</v>
      </c>
      <c r="D5752" s="5" t="s">
        <v>12</v>
      </c>
      <c r="E5752" s="5" t="s">
        <v>3962</v>
      </c>
    </row>
    <row r="5753" spans="1:5" x14ac:dyDescent="0.25">
      <c r="A5753" s="5">
        <f>5745</f>
      </c>
      <c r="B5753" s="5" t="s">
        <v>4995</v>
      </c>
      <c r="C5753" s="5" t="s">
        <v>11</v>
      </c>
      <c r="D5753" s="5" t="s">
        <v>12</v>
      </c>
      <c r="E5753" s="5" t="s">
        <v>3962</v>
      </c>
    </row>
    <row r="5754" spans="1:5" x14ac:dyDescent="0.25">
      <c r="A5754" s="5">
        <f>5746</f>
      </c>
      <c r="B5754" s="5" t="s">
        <v>4996</v>
      </c>
      <c r="C5754" s="5" t="s">
        <v>11</v>
      </c>
      <c r="D5754" s="5" t="s">
        <v>12</v>
      </c>
      <c r="E5754" s="5" t="s">
        <v>3962</v>
      </c>
    </row>
    <row r="5755" spans="1:5" x14ac:dyDescent="0.25">
      <c r="A5755" s="5">
        <f>5747</f>
      </c>
      <c r="B5755" s="5" t="s">
        <v>4997</v>
      </c>
      <c r="C5755" s="5" t="s">
        <v>11</v>
      </c>
      <c r="D5755" s="5" t="s">
        <v>12</v>
      </c>
      <c r="E5755" s="5" t="s">
        <v>3962</v>
      </c>
    </row>
    <row r="5756" spans="1:5" x14ac:dyDescent="0.25">
      <c r="A5756" s="5">
        <f>5748</f>
      </c>
      <c r="B5756" s="5" t="s">
        <v>4998</v>
      </c>
      <c r="C5756" s="5" t="s">
        <v>11</v>
      </c>
      <c r="D5756" s="5" t="s">
        <v>12</v>
      </c>
      <c r="E5756" s="5" t="s">
        <v>3962</v>
      </c>
    </row>
    <row r="5757" spans="1:5" x14ac:dyDescent="0.25">
      <c r="A5757" s="5">
        <f>5749</f>
      </c>
      <c r="B5757" s="5" t="s">
        <v>4999</v>
      </c>
      <c r="C5757" s="5" t="s">
        <v>11</v>
      </c>
      <c r="D5757" s="5" t="s">
        <v>12</v>
      </c>
      <c r="E5757" s="5" t="s">
        <v>3962</v>
      </c>
    </row>
    <row r="5758" spans="1:5" x14ac:dyDescent="0.25">
      <c r="A5758" s="5">
        <f>5750</f>
      </c>
      <c r="B5758" s="5" t="s">
        <v>5000</v>
      </c>
      <c r="C5758" s="5" t="s">
        <v>11</v>
      </c>
      <c r="D5758" s="5" t="s">
        <v>12</v>
      </c>
      <c r="E5758" s="5" t="s">
        <v>3962</v>
      </c>
    </row>
    <row r="5759" spans="1:5" x14ac:dyDescent="0.25">
      <c r="A5759" s="5">
        <f>5751</f>
      </c>
      <c r="B5759" s="5" t="s">
        <v>5001</v>
      </c>
      <c r="C5759" s="5" t="s">
        <v>11</v>
      </c>
      <c r="D5759" s="5" t="s">
        <v>12</v>
      </c>
      <c r="E5759" s="5" t="s">
        <v>3962</v>
      </c>
    </row>
    <row r="5760" spans="1:5" x14ac:dyDescent="0.25">
      <c r="A5760" s="5">
        <f>5752</f>
      </c>
      <c r="B5760" s="5" t="s">
        <v>5002</v>
      </c>
      <c r="C5760" s="5" t="s">
        <v>11</v>
      </c>
      <c r="D5760" s="5" t="s">
        <v>12</v>
      </c>
      <c r="E5760" s="5" t="s">
        <v>3962</v>
      </c>
    </row>
    <row r="5761" spans="1:5" x14ac:dyDescent="0.25">
      <c r="A5761" s="5">
        <f>5753</f>
      </c>
      <c r="B5761" s="5" t="s">
        <v>5003</v>
      </c>
      <c r="C5761" s="5" t="s">
        <v>11</v>
      </c>
      <c r="D5761" s="5" t="s">
        <v>12</v>
      </c>
      <c r="E5761" s="5" t="s">
        <v>3962</v>
      </c>
    </row>
    <row r="5762" spans="1:5" x14ac:dyDescent="0.25">
      <c r="A5762" s="5">
        <f>5754</f>
      </c>
      <c r="B5762" s="5" t="s">
        <v>5004</v>
      </c>
      <c r="C5762" s="5" t="s">
        <v>11</v>
      </c>
      <c r="D5762" s="5" t="s">
        <v>12</v>
      </c>
      <c r="E5762" s="5" t="s">
        <v>3962</v>
      </c>
    </row>
    <row r="5763" spans="1:5" x14ac:dyDescent="0.25">
      <c r="A5763" s="5">
        <f>5755</f>
      </c>
      <c r="B5763" s="5" t="s">
        <v>5005</v>
      </c>
      <c r="C5763" s="5" t="s">
        <v>11</v>
      </c>
      <c r="D5763" s="5" t="s">
        <v>12</v>
      </c>
      <c r="E5763" s="5" t="s">
        <v>3962</v>
      </c>
    </row>
    <row r="5764" spans="1:5" x14ac:dyDescent="0.25">
      <c r="A5764" s="5">
        <f>5756</f>
      </c>
      <c r="B5764" s="5" t="s">
        <v>5006</v>
      </c>
      <c r="C5764" s="5" t="s">
        <v>11</v>
      </c>
      <c r="D5764" s="5" t="s">
        <v>12</v>
      </c>
      <c r="E5764" s="5" t="s">
        <v>3962</v>
      </c>
    </row>
    <row r="5765" spans="1:5" x14ac:dyDescent="0.25">
      <c r="A5765" s="5">
        <f>5757</f>
      </c>
      <c r="B5765" s="5" t="s">
        <v>5007</v>
      </c>
      <c r="C5765" s="5" t="s">
        <v>11</v>
      </c>
      <c r="D5765" s="5" t="s">
        <v>12</v>
      </c>
      <c r="E5765" s="5" t="s">
        <v>3962</v>
      </c>
    </row>
    <row r="5766" spans="1:5" x14ac:dyDescent="0.25">
      <c r="A5766" s="5">
        <f>5758</f>
      </c>
      <c r="B5766" s="5" t="s">
        <v>5008</v>
      </c>
      <c r="C5766" s="5" t="s">
        <v>11</v>
      </c>
      <c r="D5766" s="5" t="s">
        <v>12</v>
      </c>
      <c r="E5766" s="5" t="s">
        <v>3962</v>
      </c>
    </row>
    <row r="5767" spans="1:5" x14ac:dyDescent="0.25">
      <c r="A5767" s="5">
        <f>5759</f>
      </c>
      <c r="B5767" s="5" t="s">
        <v>5009</v>
      </c>
      <c r="C5767" s="5" t="s">
        <v>11</v>
      </c>
      <c r="D5767" s="5" t="s">
        <v>12</v>
      </c>
      <c r="E5767" s="5" t="s">
        <v>3962</v>
      </c>
    </row>
    <row r="5768" spans="1:5" x14ac:dyDescent="0.25">
      <c r="A5768" s="5">
        <f>5760</f>
      </c>
      <c r="B5768" s="5" t="s">
        <v>5010</v>
      </c>
      <c r="C5768" s="5" t="s">
        <v>11</v>
      </c>
      <c r="D5768" s="5" t="s">
        <v>12</v>
      </c>
      <c r="E5768" s="5" t="s">
        <v>3962</v>
      </c>
    </row>
    <row r="5769" spans="1:5" x14ac:dyDescent="0.25">
      <c r="A5769" s="5">
        <f>5761</f>
      </c>
      <c r="B5769" s="5" t="s">
        <v>5011</v>
      </c>
      <c r="C5769" s="5" t="s">
        <v>11</v>
      </c>
      <c r="D5769" s="5" t="s">
        <v>12</v>
      </c>
      <c r="E5769" s="5" t="s">
        <v>3962</v>
      </c>
    </row>
    <row r="5770" spans="1:5" x14ac:dyDescent="0.25">
      <c r="A5770" s="5">
        <f>5762</f>
      </c>
      <c r="B5770" s="5" t="s">
        <v>5012</v>
      </c>
      <c r="C5770" s="5" t="s">
        <v>11</v>
      </c>
      <c r="D5770" s="5" t="s">
        <v>12</v>
      </c>
      <c r="E5770" s="5" t="s">
        <v>3962</v>
      </c>
    </row>
    <row r="5771" spans="1:5" x14ac:dyDescent="0.25">
      <c r="A5771" s="5">
        <f>5763</f>
      </c>
      <c r="B5771" s="5" t="s">
        <v>5013</v>
      </c>
      <c r="C5771" s="5" t="s">
        <v>11</v>
      </c>
      <c r="D5771" s="5" t="s">
        <v>12</v>
      </c>
      <c r="E5771" s="5" t="s">
        <v>3962</v>
      </c>
    </row>
    <row r="5772" spans="1:5" x14ac:dyDescent="0.25">
      <c r="A5772" s="5">
        <f>5764</f>
      </c>
      <c r="B5772" s="5" t="s">
        <v>5014</v>
      </c>
      <c r="C5772" s="5" t="s">
        <v>11</v>
      </c>
      <c r="D5772" s="5" t="s">
        <v>12</v>
      </c>
      <c r="E5772" s="5" t="s">
        <v>3962</v>
      </c>
    </row>
    <row r="5773" spans="1:5" x14ac:dyDescent="0.25">
      <c r="A5773" s="5">
        <f>5765</f>
      </c>
      <c r="B5773" s="5" t="s">
        <v>5015</v>
      </c>
      <c r="C5773" s="5" t="s">
        <v>11</v>
      </c>
      <c r="D5773" s="5" t="s">
        <v>12</v>
      </c>
      <c r="E5773" s="5" t="s">
        <v>3962</v>
      </c>
    </row>
    <row r="5774" spans="1:5" x14ac:dyDescent="0.25">
      <c r="A5774" s="5">
        <f>5766</f>
      </c>
      <c r="B5774" s="5" t="s">
        <v>5016</v>
      </c>
      <c r="C5774" s="5" t="s">
        <v>11</v>
      </c>
      <c r="D5774" s="5" t="s">
        <v>12</v>
      </c>
      <c r="E5774" s="5" t="s">
        <v>3962</v>
      </c>
    </row>
    <row r="5775" spans="1:5" x14ac:dyDescent="0.25">
      <c r="A5775" s="5">
        <f>5767</f>
      </c>
      <c r="B5775" s="5" t="s">
        <v>5017</v>
      </c>
      <c r="C5775" s="5" t="s">
        <v>11</v>
      </c>
      <c r="D5775" s="5" t="s">
        <v>12</v>
      </c>
      <c r="E5775" s="5" t="s">
        <v>3962</v>
      </c>
    </row>
    <row r="5776" spans="1:5" x14ac:dyDescent="0.25">
      <c r="A5776" s="5">
        <f>5768</f>
      </c>
      <c r="B5776" s="5" t="s">
        <v>5018</v>
      </c>
      <c r="C5776" s="5" t="s">
        <v>11</v>
      </c>
      <c r="D5776" s="5" t="s">
        <v>12</v>
      </c>
      <c r="E5776" s="5" t="s">
        <v>3962</v>
      </c>
    </row>
    <row r="5777" spans="1:5" x14ac:dyDescent="0.25">
      <c r="A5777" s="5">
        <f>5769</f>
      </c>
      <c r="B5777" s="5" t="s">
        <v>5019</v>
      </c>
      <c r="C5777" s="5" t="s">
        <v>11</v>
      </c>
      <c r="D5777" s="5" t="s">
        <v>12</v>
      </c>
      <c r="E5777" s="5" t="s">
        <v>3962</v>
      </c>
    </row>
    <row r="5778" spans="1:5" x14ac:dyDescent="0.25">
      <c r="A5778" s="5">
        <f>5770</f>
      </c>
      <c r="B5778" s="5" t="s">
        <v>5020</v>
      </c>
      <c r="C5778" s="5" t="s">
        <v>11</v>
      </c>
      <c r="D5778" s="5" t="s">
        <v>12</v>
      </c>
      <c r="E5778" s="5" t="s">
        <v>3962</v>
      </c>
    </row>
    <row r="5779" spans="1:5" x14ac:dyDescent="0.25">
      <c r="A5779" s="5">
        <f>5771</f>
      </c>
      <c r="B5779" s="5" t="s">
        <v>5021</v>
      </c>
      <c r="C5779" s="5" t="s">
        <v>11</v>
      </c>
      <c r="D5779" s="5" t="s">
        <v>12</v>
      </c>
      <c r="E5779" s="5" t="s">
        <v>3962</v>
      </c>
    </row>
    <row r="5780" spans="1:5" x14ac:dyDescent="0.25">
      <c r="A5780" s="5">
        <f>5772</f>
      </c>
      <c r="B5780" s="5" t="s">
        <v>5022</v>
      </c>
      <c r="C5780" s="5" t="s">
        <v>11</v>
      </c>
      <c r="D5780" s="5" t="s">
        <v>12</v>
      </c>
      <c r="E5780" s="5" t="s">
        <v>3962</v>
      </c>
    </row>
    <row r="5781" spans="1:5" x14ac:dyDescent="0.25">
      <c r="A5781" s="5">
        <f>5773</f>
      </c>
      <c r="B5781" s="5" t="s">
        <v>5023</v>
      </c>
      <c r="C5781" s="5" t="s">
        <v>11</v>
      </c>
      <c r="D5781" s="5" t="s">
        <v>12</v>
      </c>
      <c r="E5781" s="5" t="s">
        <v>3962</v>
      </c>
    </row>
    <row r="5782" spans="1:5" x14ac:dyDescent="0.25">
      <c r="A5782" s="5">
        <f>5774</f>
      </c>
      <c r="B5782" s="5" t="s">
        <v>5024</v>
      </c>
      <c r="C5782" s="5" t="s">
        <v>11</v>
      </c>
      <c r="D5782" s="5" t="s">
        <v>12</v>
      </c>
      <c r="E5782" s="5" t="s">
        <v>3962</v>
      </c>
    </row>
    <row r="5783" spans="1:5" x14ac:dyDescent="0.25">
      <c r="A5783" s="5">
        <f>5775</f>
      </c>
      <c r="B5783" s="5" t="s">
        <v>5025</v>
      </c>
      <c r="C5783" s="5" t="s">
        <v>11</v>
      </c>
      <c r="D5783" s="5" t="s">
        <v>12</v>
      </c>
      <c r="E5783" s="5" t="s">
        <v>3962</v>
      </c>
    </row>
    <row r="5784" spans="1:5" x14ac:dyDescent="0.25">
      <c r="A5784" s="5">
        <f>5776</f>
      </c>
      <c r="B5784" s="5" t="s">
        <v>5026</v>
      </c>
      <c r="C5784" s="5" t="s">
        <v>11</v>
      </c>
      <c r="D5784" s="5" t="s">
        <v>12</v>
      </c>
      <c r="E5784" s="5" t="s">
        <v>3962</v>
      </c>
    </row>
    <row r="5785" spans="1:5" x14ac:dyDescent="0.25">
      <c r="A5785" s="5">
        <f>5777</f>
      </c>
      <c r="B5785" s="5" t="s">
        <v>5027</v>
      </c>
      <c r="C5785" s="5" t="s">
        <v>11</v>
      </c>
      <c r="D5785" s="5" t="s">
        <v>12</v>
      </c>
      <c r="E5785" s="5" t="s">
        <v>3962</v>
      </c>
    </row>
    <row r="5786" spans="1:5" x14ac:dyDescent="0.25">
      <c r="A5786" s="5">
        <f>5778</f>
      </c>
      <c r="B5786" s="5" t="s">
        <v>5028</v>
      </c>
      <c r="C5786" s="5" t="s">
        <v>11</v>
      </c>
      <c r="D5786" s="5" t="s">
        <v>12</v>
      </c>
      <c r="E5786" s="5" t="s">
        <v>3962</v>
      </c>
    </row>
    <row r="5787" spans="1:5" x14ac:dyDescent="0.25">
      <c r="A5787" s="5">
        <f>5779</f>
      </c>
      <c r="B5787" s="5" t="s">
        <v>5029</v>
      </c>
      <c r="C5787" s="5" t="s">
        <v>11</v>
      </c>
      <c r="D5787" s="5" t="s">
        <v>12</v>
      </c>
      <c r="E5787" s="5" t="s">
        <v>3962</v>
      </c>
    </row>
    <row r="5788" spans="1:5" x14ac:dyDescent="0.25">
      <c r="A5788" s="5">
        <f>5780</f>
      </c>
      <c r="B5788" s="5" t="s">
        <v>5030</v>
      </c>
      <c r="C5788" s="5" t="s">
        <v>11</v>
      </c>
      <c r="D5788" s="5" t="s">
        <v>12</v>
      </c>
      <c r="E5788" s="5" t="s">
        <v>3962</v>
      </c>
    </row>
    <row r="5789" spans="1:5" x14ac:dyDescent="0.25">
      <c r="A5789" s="5">
        <f>5781</f>
      </c>
      <c r="B5789" s="5" t="s">
        <v>5031</v>
      </c>
      <c r="C5789" s="5" t="s">
        <v>11</v>
      </c>
      <c r="D5789" s="5" t="s">
        <v>12</v>
      </c>
      <c r="E5789" s="5" t="s">
        <v>3962</v>
      </c>
    </row>
    <row r="5790" spans="1:5" x14ac:dyDescent="0.25">
      <c r="A5790" s="5">
        <f>5782</f>
      </c>
      <c r="B5790" s="5" t="s">
        <v>5032</v>
      </c>
      <c r="C5790" s="5" t="s">
        <v>11</v>
      </c>
      <c r="D5790" s="5" t="s">
        <v>12</v>
      </c>
      <c r="E5790" s="5" t="s">
        <v>3962</v>
      </c>
    </row>
    <row r="5791" spans="1:5" x14ac:dyDescent="0.25">
      <c r="A5791" s="5">
        <f>5783</f>
      </c>
      <c r="B5791" s="5" t="s">
        <v>5033</v>
      </c>
      <c r="C5791" s="5" t="s">
        <v>11</v>
      </c>
      <c r="D5791" s="5" t="s">
        <v>12</v>
      </c>
      <c r="E5791" s="5" t="s">
        <v>3962</v>
      </c>
    </row>
    <row r="5792" spans="1:5" x14ac:dyDescent="0.25">
      <c r="A5792" s="5">
        <f>5784</f>
      </c>
      <c r="B5792" s="5" t="s">
        <v>5034</v>
      </c>
      <c r="C5792" s="5" t="s">
        <v>11</v>
      </c>
      <c r="D5792" s="5" t="s">
        <v>12</v>
      </c>
      <c r="E5792" s="5" t="s">
        <v>3962</v>
      </c>
    </row>
    <row r="5793" spans="1:5" x14ac:dyDescent="0.25">
      <c r="A5793" s="5">
        <f>5785</f>
      </c>
      <c r="B5793" s="5" t="s">
        <v>5035</v>
      </c>
      <c r="C5793" s="5" t="s">
        <v>11</v>
      </c>
      <c r="D5793" s="5" t="s">
        <v>12</v>
      </c>
      <c r="E5793" s="5" t="s">
        <v>3962</v>
      </c>
    </row>
    <row r="5794" spans="1:5" x14ac:dyDescent="0.25">
      <c r="A5794" s="5">
        <f>5786</f>
      </c>
      <c r="B5794" s="5" t="s">
        <v>5036</v>
      </c>
      <c r="C5794" s="5" t="s">
        <v>11</v>
      </c>
      <c r="D5794" s="5" t="s">
        <v>12</v>
      </c>
      <c r="E5794" s="5" t="s">
        <v>3962</v>
      </c>
    </row>
    <row r="5795" spans="1:5" x14ac:dyDescent="0.25">
      <c r="A5795" s="5">
        <f>5787</f>
      </c>
      <c r="B5795" s="5" t="s">
        <v>5037</v>
      </c>
      <c r="C5795" s="5" t="s">
        <v>11</v>
      </c>
      <c r="D5795" s="5" t="s">
        <v>12</v>
      </c>
      <c r="E5795" s="5" t="s">
        <v>3962</v>
      </c>
    </row>
    <row r="5796" spans="1:5" x14ac:dyDescent="0.25">
      <c r="A5796" s="5">
        <f>5788</f>
      </c>
      <c r="B5796" s="5" t="s">
        <v>5038</v>
      </c>
      <c r="C5796" s="5" t="s">
        <v>11</v>
      </c>
      <c r="D5796" s="5" t="s">
        <v>12</v>
      </c>
      <c r="E5796" s="5" t="s">
        <v>3962</v>
      </c>
    </row>
    <row r="5797" spans="1:5" x14ac:dyDescent="0.25">
      <c r="A5797" s="5">
        <f>5789</f>
      </c>
      <c r="B5797" s="5" t="s">
        <v>5039</v>
      </c>
      <c r="C5797" s="5" t="s">
        <v>11</v>
      </c>
      <c r="D5797" s="5" t="s">
        <v>12</v>
      </c>
      <c r="E5797" s="5" t="s">
        <v>3962</v>
      </c>
    </row>
    <row r="5798" spans="1:5" x14ac:dyDescent="0.25">
      <c r="A5798" s="5">
        <f>5790</f>
      </c>
      <c r="B5798" s="5" t="s">
        <v>5040</v>
      </c>
      <c r="C5798" s="5" t="s">
        <v>11</v>
      </c>
      <c r="D5798" s="5" t="s">
        <v>12</v>
      </c>
      <c r="E5798" s="5" t="s">
        <v>3962</v>
      </c>
    </row>
    <row r="5799" spans="1:5" x14ac:dyDescent="0.25">
      <c r="A5799" s="5">
        <f>5791</f>
      </c>
      <c r="B5799" s="5" t="s">
        <v>5041</v>
      </c>
      <c r="C5799" s="5" t="s">
        <v>11</v>
      </c>
      <c r="D5799" s="5" t="s">
        <v>12</v>
      </c>
      <c r="E5799" s="5" t="s">
        <v>3962</v>
      </c>
    </row>
    <row r="5800" spans="1:5" x14ac:dyDescent="0.25">
      <c r="A5800" s="5">
        <f>5792</f>
      </c>
      <c r="B5800" s="5" t="s">
        <v>5042</v>
      </c>
      <c r="C5800" s="5" t="s">
        <v>11</v>
      </c>
      <c r="D5800" s="5" t="s">
        <v>12</v>
      </c>
      <c r="E5800" s="5" t="s">
        <v>3962</v>
      </c>
    </row>
    <row r="5801" spans="1:5" x14ac:dyDescent="0.25">
      <c r="A5801" s="5">
        <f>5793</f>
      </c>
      <c r="B5801" s="5" t="s">
        <v>5043</v>
      </c>
      <c r="C5801" s="5" t="s">
        <v>11</v>
      </c>
      <c r="D5801" s="5" t="s">
        <v>12</v>
      </c>
      <c r="E5801" s="5" t="s">
        <v>3962</v>
      </c>
    </row>
    <row r="5802" spans="1:5" x14ac:dyDescent="0.25">
      <c r="A5802" s="5">
        <f>5794</f>
      </c>
      <c r="B5802" s="5" t="s">
        <v>5044</v>
      </c>
      <c r="C5802" s="5" t="s">
        <v>11</v>
      </c>
      <c r="D5802" s="5" t="s">
        <v>12</v>
      </c>
      <c r="E5802" s="5" t="s">
        <v>3962</v>
      </c>
    </row>
    <row r="5803" spans="1:5" x14ac:dyDescent="0.25">
      <c r="A5803" s="5">
        <f>5795</f>
      </c>
      <c r="B5803" s="5" t="s">
        <v>5045</v>
      </c>
      <c r="C5803" s="5" t="s">
        <v>11</v>
      </c>
      <c r="D5803" s="5" t="s">
        <v>12</v>
      </c>
      <c r="E5803" s="5" t="s">
        <v>3962</v>
      </c>
    </row>
    <row r="5804" spans="1:5" x14ac:dyDescent="0.25">
      <c r="A5804" s="5">
        <f>5796</f>
      </c>
      <c r="B5804" s="5" t="s">
        <v>5046</v>
      </c>
      <c r="C5804" s="5" t="s">
        <v>11</v>
      </c>
      <c r="D5804" s="5" t="s">
        <v>12</v>
      </c>
      <c r="E5804" s="5" t="s">
        <v>3962</v>
      </c>
    </row>
    <row r="5805" spans="1:5" x14ac:dyDescent="0.25">
      <c r="A5805" s="5">
        <f>5797</f>
      </c>
      <c r="B5805" s="5" t="s">
        <v>5047</v>
      </c>
      <c r="C5805" s="5" t="s">
        <v>11</v>
      </c>
      <c r="D5805" s="5" t="s">
        <v>12</v>
      </c>
      <c r="E5805" s="5" t="s">
        <v>3962</v>
      </c>
    </row>
    <row r="5806" spans="1:5" x14ac:dyDescent="0.25">
      <c r="A5806" s="5">
        <f>5798</f>
      </c>
      <c r="B5806" s="5" t="s">
        <v>5048</v>
      </c>
      <c r="C5806" s="5" t="s">
        <v>11</v>
      </c>
      <c r="D5806" s="5" t="s">
        <v>12</v>
      </c>
      <c r="E5806" s="5" t="s">
        <v>3962</v>
      </c>
    </row>
    <row r="5807" spans="1:5" x14ac:dyDescent="0.25">
      <c r="A5807" s="5">
        <f>5799</f>
      </c>
      <c r="B5807" s="5" t="s">
        <v>5049</v>
      </c>
      <c r="C5807" s="5" t="s">
        <v>11</v>
      </c>
      <c r="D5807" s="5" t="s">
        <v>12</v>
      </c>
      <c r="E5807" s="5" t="s">
        <v>3962</v>
      </c>
    </row>
    <row r="5808" spans="1:5" x14ac:dyDescent="0.25">
      <c r="A5808" s="5">
        <f>5800</f>
      </c>
      <c r="B5808" s="5" t="s">
        <v>5050</v>
      </c>
      <c r="C5808" s="5" t="s">
        <v>11</v>
      </c>
      <c r="D5808" s="5" t="s">
        <v>12</v>
      </c>
      <c r="E5808" s="5" t="s">
        <v>3962</v>
      </c>
    </row>
    <row r="5809" spans="1:5" x14ac:dyDescent="0.25">
      <c r="A5809" s="5">
        <f>5801</f>
      </c>
      <c r="B5809" s="5" t="s">
        <v>5051</v>
      </c>
      <c r="C5809" s="5" t="s">
        <v>11</v>
      </c>
      <c r="D5809" s="5" t="s">
        <v>12</v>
      </c>
      <c r="E5809" s="5" t="s">
        <v>3962</v>
      </c>
    </row>
    <row r="5810" spans="1:5" x14ac:dyDescent="0.25">
      <c r="A5810" s="5">
        <f>5802</f>
      </c>
      <c r="B5810" s="5" t="s">
        <v>5052</v>
      </c>
      <c r="C5810" s="5" t="s">
        <v>11</v>
      </c>
      <c r="D5810" s="5" t="s">
        <v>12</v>
      </c>
      <c r="E5810" s="5" t="s">
        <v>3962</v>
      </c>
    </row>
    <row r="5811" spans="1:5" x14ac:dyDescent="0.25">
      <c r="A5811" s="5">
        <f>5803</f>
      </c>
      <c r="B5811" s="5" t="s">
        <v>5053</v>
      </c>
      <c r="C5811" s="5" t="s">
        <v>11</v>
      </c>
      <c r="D5811" s="5" t="s">
        <v>12</v>
      </c>
      <c r="E5811" s="5" t="s">
        <v>3962</v>
      </c>
    </row>
    <row r="5812" spans="1:5" x14ac:dyDescent="0.25">
      <c r="A5812" s="5">
        <f>5804</f>
      </c>
      <c r="B5812" s="5" t="s">
        <v>5054</v>
      </c>
      <c r="C5812" s="5" t="s">
        <v>11</v>
      </c>
      <c r="D5812" s="5" t="s">
        <v>12</v>
      </c>
      <c r="E5812" s="5" t="s">
        <v>3962</v>
      </c>
    </row>
    <row r="5813" spans="1:5" x14ac:dyDescent="0.25">
      <c r="A5813" s="5">
        <f>5805</f>
      </c>
      <c r="B5813" s="5" t="s">
        <v>5055</v>
      </c>
      <c r="C5813" s="5" t="s">
        <v>11</v>
      </c>
      <c r="D5813" s="5" t="s">
        <v>12</v>
      </c>
      <c r="E5813" s="5" t="s">
        <v>3962</v>
      </c>
    </row>
    <row r="5814" spans="1:5" x14ac:dyDescent="0.25">
      <c r="A5814" s="5">
        <f>5806</f>
      </c>
      <c r="B5814" s="5" t="s">
        <v>5056</v>
      </c>
      <c r="C5814" s="5" t="s">
        <v>11</v>
      </c>
      <c r="D5814" s="5" t="s">
        <v>12</v>
      </c>
      <c r="E5814" s="5" t="s">
        <v>3962</v>
      </c>
    </row>
    <row r="5815" spans="1:5" x14ac:dyDescent="0.25">
      <c r="A5815" s="5">
        <f>5807</f>
      </c>
      <c r="B5815" s="5" t="s">
        <v>5057</v>
      </c>
      <c r="C5815" s="5" t="s">
        <v>11</v>
      </c>
      <c r="D5815" s="5" t="s">
        <v>12</v>
      </c>
      <c r="E5815" s="5" t="s">
        <v>3962</v>
      </c>
    </row>
    <row r="5816" spans="1:5" x14ac:dyDescent="0.25">
      <c r="A5816" s="5">
        <f>5808</f>
      </c>
      <c r="B5816" s="5" t="s">
        <v>5058</v>
      </c>
      <c r="C5816" s="5" t="s">
        <v>11</v>
      </c>
      <c r="D5816" s="5" t="s">
        <v>12</v>
      </c>
      <c r="E5816" s="5" t="s">
        <v>3962</v>
      </c>
    </row>
    <row r="5817" spans="1:5" x14ac:dyDescent="0.25">
      <c r="A5817" s="5">
        <f>5809</f>
      </c>
      <c r="B5817" s="5" t="s">
        <v>5059</v>
      </c>
      <c r="C5817" s="5" t="s">
        <v>11</v>
      </c>
      <c r="D5817" s="5" t="s">
        <v>12</v>
      </c>
      <c r="E5817" s="5" t="s">
        <v>3962</v>
      </c>
    </row>
    <row r="5818" spans="1:5" x14ac:dyDescent="0.25">
      <c r="A5818" s="5">
        <f>5810</f>
      </c>
      <c r="B5818" s="5" t="s">
        <v>5060</v>
      </c>
      <c r="C5818" s="5" t="s">
        <v>11</v>
      </c>
      <c r="D5818" s="5" t="s">
        <v>12</v>
      </c>
      <c r="E5818" s="5" t="s">
        <v>3962</v>
      </c>
    </row>
    <row r="5819" spans="1:5" x14ac:dyDescent="0.25">
      <c r="A5819" s="5">
        <f>5811</f>
      </c>
      <c r="B5819" s="5" t="s">
        <v>5061</v>
      </c>
      <c r="C5819" s="5" t="s">
        <v>11</v>
      </c>
      <c r="D5819" s="5" t="s">
        <v>12</v>
      </c>
      <c r="E5819" s="5" t="s">
        <v>3962</v>
      </c>
    </row>
    <row r="5820" spans="1:5" x14ac:dyDescent="0.25">
      <c r="A5820" s="5">
        <f>5812</f>
      </c>
      <c r="B5820" s="5" t="s">
        <v>5062</v>
      </c>
      <c r="C5820" s="5" t="s">
        <v>11</v>
      </c>
      <c r="D5820" s="5" t="s">
        <v>12</v>
      </c>
      <c r="E5820" s="5" t="s">
        <v>3962</v>
      </c>
    </row>
    <row r="5821" spans="1:5" x14ac:dyDescent="0.25">
      <c r="A5821" s="5">
        <f>5813</f>
      </c>
      <c r="B5821" s="5" t="s">
        <v>5063</v>
      </c>
      <c r="C5821" s="5" t="s">
        <v>11</v>
      </c>
      <c r="D5821" s="5" t="s">
        <v>12</v>
      </c>
      <c r="E5821" s="5" t="s">
        <v>3962</v>
      </c>
    </row>
    <row r="5822" spans="1:5" x14ac:dyDescent="0.25">
      <c r="A5822" s="5">
        <f>5814</f>
      </c>
      <c r="B5822" s="5" t="s">
        <v>5064</v>
      </c>
      <c r="C5822" s="5" t="s">
        <v>11</v>
      </c>
      <c r="D5822" s="5" t="s">
        <v>12</v>
      </c>
      <c r="E5822" s="5" t="s">
        <v>3962</v>
      </c>
    </row>
    <row r="5823" spans="1:5" x14ac:dyDescent="0.25">
      <c r="A5823" s="5">
        <f>5815</f>
      </c>
      <c r="B5823" s="5" t="s">
        <v>5065</v>
      </c>
      <c r="C5823" s="5" t="s">
        <v>11</v>
      </c>
      <c r="D5823" s="5" t="s">
        <v>12</v>
      </c>
      <c r="E5823" s="5" t="s">
        <v>3962</v>
      </c>
    </row>
    <row r="5824" spans="1:5" x14ac:dyDescent="0.25">
      <c r="A5824" s="5">
        <f>5816</f>
      </c>
      <c r="B5824" s="5" t="s">
        <v>5066</v>
      </c>
      <c r="C5824" s="5" t="s">
        <v>11</v>
      </c>
      <c r="D5824" s="5" t="s">
        <v>12</v>
      </c>
      <c r="E5824" s="5" t="s">
        <v>3962</v>
      </c>
    </row>
    <row r="5825" spans="1:5" x14ac:dyDescent="0.25">
      <c r="A5825" s="5">
        <f>5817</f>
      </c>
      <c r="B5825" s="5" t="s">
        <v>5067</v>
      </c>
      <c r="C5825" s="5" t="s">
        <v>11</v>
      </c>
      <c r="D5825" s="5" t="s">
        <v>12</v>
      </c>
      <c r="E5825" s="5" t="s">
        <v>3962</v>
      </c>
    </row>
    <row r="5826" spans="1:5" x14ac:dyDescent="0.25">
      <c r="A5826" s="5">
        <f>5818</f>
      </c>
      <c r="B5826" s="5" t="s">
        <v>5068</v>
      </c>
      <c r="C5826" s="5" t="s">
        <v>11</v>
      </c>
      <c r="D5826" s="5" t="s">
        <v>12</v>
      </c>
      <c r="E5826" s="5" t="s">
        <v>3962</v>
      </c>
    </row>
    <row r="5827" spans="1:5" x14ac:dyDescent="0.25">
      <c r="A5827" s="5">
        <f>5819</f>
      </c>
      <c r="B5827" s="5" t="s">
        <v>5069</v>
      </c>
      <c r="C5827" s="5" t="s">
        <v>11</v>
      </c>
      <c r="D5827" s="5" t="s">
        <v>12</v>
      </c>
      <c r="E5827" s="5" t="s">
        <v>3962</v>
      </c>
    </row>
    <row r="5828" spans="1:5" x14ac:dyDescent="0.25">
      <c r="A5828" s="5">
        <f>5820</f>
      </c>
      <c r="B5828" s="5" t="s">
        <v>5070</v>
      </c>
      <c r="C5828" s="5" t="s">
        <v>11</v>
      </c>
      <c r="D5828" s="5" t="s">
        <v>12</v>
      </c>
      <c r="E5828" s="5" t="s">
        <v>3962</v>
      </c>
    </row>
    <row r="5829" spans="1:5" x14ac:dyDescent="0.25">
      <c r="A5829" s="5">
        <f>5821</f>
      </c>
      <c r="B5829" s="5" t="s">
        <v>5071</v>
      </c>
      <c r="C5829" s="5" t="s">
        <v>11</v>
      </c>
      <c r="D5829" s="5" t="s">
        <v>12</v>
      </c>
      <c r="E5829" s="5" t="s">
        <v>3962</v>
      </c>
    </row>
    <row r="5830" spans="1:5" x14ac:dyDescent="0.25">
      <c r="A5830" s="5">
        <f>5822</f>
      </c>
      <c r="B5830" s="5" t="s">
        <v>5072</v>
      </c>
      <c r="C5830" s="5" t="s">
        <v>11</v>
      </c>
      <c r="D5830" s="5" t="s">
        <v>12</v>
      </c>
      <c r="E5830" s="5" t="s">
        <v>3962</v>
      </c>
    </row>
    <row r="5831" spans="1:5" x14ac:dyDescent="0.25">
      <c r="A5831" s="5">
        <f>5823</f>
      </c>
      <c r="B5831" s="5" t="s">
        <v>5073</v>
      </c>
      <c r="C5831" s="5" t="s">
        <v>11</v>
      </c>
      <c r="D5831" s="5" t="s">
        <v>12</v>
      </c>
      <c r="E5831" s="5" t="s">
        <v>3962</v>
      </c>
    </row>
    <row r="5832" spans="1:5" x14ac:dyDescent="0.25">
      <c r="A5832" s="5">
        <f>5824</f>
      </c>
      <c r="B5832" s="5" t="s">
        <v>5074</v>
      </c>
      <c r="C5832" s="5" t="s">
        <v>11</v>
      </c>
      <c r="D5832" s="5" t="s">
        <v>12</v>
      </c>
      <c r="E5832" s="5" t="s">
        <v>3962</v>
      </c>
    </row>
    <row r="5833" spans="1:5" x14ac:dyDescent="0.25">
      <c r="A5833" s="5">
        <f>5825</f>
      </c>
      <c r="B5833" s="5" t="s">
        <v>5075</v>
      </c>
      <c r="C5833" s="5" t="s">
        <v>11</v>
      </c>
      <c r="D5833" s="5" t="s">
        <v>12</v>
      </c>
      <c r="E5833" s="5" t="s">
        <v>3962</v>
      </c>
    </row>
    <row r="5834" spans="1:5" x14ac:dyDescent="0.25">
      <c r="A5834" s="5">
        <f>5826</f>
      </c>
      <c r="B5834" s="5" t="s">
        <v>5076</v>
      </c>
      <c r="C5834" s="5" t="s">
        <v>11</v>
      </c>
      <c r="D5834" s="5" t="s">
        <v>12</v>
      </c>
      <c r="E5834" s="5" t="s">
        <v>3962</v>
      </c>
    </row>
    <row r="5835" spans="1:5" x14ac:dyDescent="0.25">
      <c r="A5835" s="5">
        <f>5827</f>
      </c>
      <c r="B5835" s="5" t="s">
        <v>5077</v>
      </c>
      <c r="C5835" s="5" t="s">
        <v>11</v>
      </c>
      <c r="D5835" s="5" t="s">
        <v>12</v>
      </c>
      <c r="E5835" s="5" t="s">
        <v>3962</v>
      </c>
    </row>
    <row r="5836" spans="1:5" x14ac:dyDescent="0.25">
      <c r="A5836" s="5">
        <f>5828</f>
      </c>
      <c r="B5836" s="5" t="s">
        <v>5078</v>
      </c>
      <c r="C5836" s="5" t="s">
        <v>11</v>
      </c>
      <c r="D5836" s="5" t="s">
        <v>12</v>
      </c>
      <c r="E5836" s="5" t="s">
        <v>3962</v>
      </c>
    </row>
    <row r="5837" spans="1:5" x14ac:dyDescent="0.25">
      <c r="A5837" s="5">
        <f>5829</f>
      </c>
      <c r="B5837" s="5" t="s">
        <v>5079</v>
      </c>
      <c r="C5837" s="5" t="s">
        <v>11</v>
      </c>
      <c r="D5837" s="5" t="s">
        <v>12</v>
      </c>
      <c r="E5837" s="5" t="s">
        <v>3962</v>
      </c>
    </row>
    <row r="5838" spans="1:5" x14ac:dyDescent="0.25">
      <c r="A5838" s="5">
        <f>5830</f>
      </c>
      <c r="B5838" s="5" t="s">
        <v>5080</v>
      </c>
      <c r="C5838" s="5" t="s">
        <v>11</v>
      </c>
      <c r="D5838" s="5" t="s">
        <v>12</v>
      </c>
      <c r="E5838" s="5" t="s">
        <v>3962</v>
      </c>
    </row>
    <row r="5839" spans="1:5" x14ac:dyDescent="0.25">
      <c r="A5839" s="5">
        <f>5831</f>
      </c>
      <c r="B5839" s="5" t="s">
        <v>5081</v>
      </c>
      <c r="C5839" s="5" t="s">
        <v>11</v>
      </c>
      <c r="D5839" s="5" t="s">
        <v>12</v>
      </c>
      <c r="E5839" s="5" t="s">
        <v>3962</v>
      </c>
    </row>
    <row r="5840" spans="1:5" x14ac:dyDescent="0.25">
      <c r="A5840" s="5">
        <f>5832</f>
      </c>
      <c r="B5840" s="5" t="s">
        <v>5082</v>
      </c>
      <c r="C5840" s="5" t="s">
        <v>11</v>
      </c>
      <c r="D5840" s="5" t="s">
        <v>12</v>
      </c>
      <c r="E5840" s="5" t="s">
        <v>3962</v>
      </c>
    </row>
    <row r="5841" spans="1:5" x14ac:dyDescent="0.25">
      <c r="A5841" s="5">
        <f>5833</f>
      </c>
      <c r="B5841" s="5" t="s">
        <v>5083</v>
      </c>
      <c r="C5841" s="5" t="s">
        <v>11</v>
      </c>
      <c r="D5841" s="5" t="s">
        <v>12</v>
      </c>
      <c r="E5841" s="5" t="s">
        <v>3962</v>
      </c>
    </row>
    <row r="5842" spans="1:5" x14ac:dyDescent="0.25">
      <c r="A5842" s="5">
        <f>5834</f>
      </c>
      <c r="B5842" s="5" t="s">
        <v>5084</v>
      </c>
      <c r="C5842" s="5" t="s">
        <v>11</v>
      </c>
      <c r="D5842" s="5" t="s">
        <v>12</v>
      </c>
      <c r="E5842" s="5" t="s">
        <v>3962</v>
      </c>
    </row>
    <row r="5843" spans="1:5" x14ac:dyDescent="0.25">
      <c r="A5843" s="5">
        <f>5835</f>
      </c>
      <c r="B5843" s="5" t="s">
        <v>5085</v>
      </c>
      <c r="C5843" s="5" t="s">
        <v>11</v>
      </c>
      <c r="D5843" s="5" t="s">
        <v>12</v>
      </c>
      <c r="E5843" s="5" t="s">
        <v>3962</v>
      </c>
    </row>
    <row r="5844" spans="1:5" x14ac:dyDescent="0.25">
      <c r="A5844" s="5">
        <f>5836</f>
      </c>
      <c r="B5844" s="5" t="s">
        <v>5086</v>
      </c>
      <c r="C5844" s="5" t="s">
        <v>11</v>
      </c>
      <c r="D5844" s="5" t="s">
        <v>12</v>
      </c>
      <c r="E5844" s="5" t="s">
        <v>3962</v>
      </c>
    </row>
    <row r="5845" spans="1:5" x14ac:dyDescent="0.25">
      <c r="A5845" s="5">
        <f>5837</f>
      </c>
      <c r="B5845" s="5" t="s">
        <v>5087</v>
      </c>
      <c r="C5845" s="5" t="s">
        <v>11</v>
      </c>
      <c r="D5845" s="5" t="s">
        <v>12</v>
      </c>
      <c r="E5845" s="5" t="s">
        <v>3962</v>
      </c>
    </row>
    <row r="5846" spans="1:5" x14ac:dyDescent="0.25">
      <c r="A5846" s="5">
        <f>5838</f>
      </c>
      <c r="B5846" s="5" t="s">
        <v>5088</v>
      </c>
      <c r="C5846" s="5" t="s">
        <v>11</v>
      </c>
      <c r="D5846" s="5" t="s">
        <v>12</v>
      </c>
      <c r="E5846" s="5" t="s">
        <v>3962</v>
      </c>
    </row>
    <row r="5847" spans="1:5" x14ac:dyDescent="0.25">
      <c r="A5847" s="5">
        <f>5839</f>
      </c>
      <c r="B5847" s="5" t="s">
        <v>5089</v>
      </c>
      <c r="C5847" s="5" t="s">
        <v>11</v>
      </c>
      <c r="D5847" s="5" t="s">
        <v>12</v>
      </c>
      <c r="E5847" s="5" t="s">
        <v>3962</v>
      </c>
    </row>
    <row r="5848" spans="1:5" x14ac:dyDescent="0.25">
      <c r="A5848" s="5">
        <f>5840</f>
      </c>
      <c r="B5848" s="5" t="s">
        <v>5090</v>
      </c>
      <c r="C5848" s="5" t="s">
        <v>11</v>
      </c>
      <c r="D5848" s="5" t="s">
        <v>12</v>
      </c>
      <c r="E5848" s="5" t="s">
        <v>3962</v>
      </c>
    </row>
    <row r="5849" spans="1:5" x14ac:dyDescent="0.25">
      <c r="A5849" s="5">
        <f>5841</f>
      </c>
      <c r="B5849" s="5" t="s">
        <v>5091</v>
      </c>
      <c r="C5849" s="5" t="s">
        <v>11</v>
      </c>
      <c r="D5849" s="5" t="s">
        <v>12</v>
      </c>
      <c r="E5849" s="5" t="s">
        <v>3962</v>
      </c>
    </row>
    <row r="5850" spans="1:5" x14ac:dyDescent="0.25">
      <c r="A5850" s="5">
        <f>5842</f>
      </c>
      <c r="B5850" s="5" t="s">
        <v>5092</v>
      </c>
      <c r="C5850" s="5" t="s">
        <v>11</v>
      </c>
      <c r="D5850" s="5" t="s">
        <v>12</v>
      </c>
      <c r="E5850" s="5" t="s">
        <v>3962</v>
      </c>
    </row>
    <row r="5851" spans="1:5" x14ac:dyDescent="0.25">
      <c r="A5851" s="5">
        <f>5843</f>
      </c>
      <c r="B5851" s="5" t="s">
        <v>5093</v>
      </c>
      <c r="C5851" s="5" t="s">
        <v>11</v>
      </c>
      <c r="D5851" s="5" t="s">
        <v>12</v>
      </c>
      <c r="E5851" s="5" t="s">
        <v>3962</v>
      </c>
    </row>
    <row r="5852" spans="1:5" x14ac:dyDescent="0.25">
      <c r="A5852" s="5">
        <f>5844</f>
      </c>
      <c r="B5852" s="5" t="s">
        <v>5094</v>
      </c>
      <c r="C5852" s="5" t="s">
        <v>11</v>
      </c>
      <c r="D5852" s="5" t="s">
        <v>12</v>
      </c>
      <c r="E5852" s="5" t="s">
        <v>3962</v>
      </c>
    </row>
    <row r="5853" spans="1:5" x14ac:dyDescent="0.25">
      <c r="A5853" s="5">
        <f>5845</f>
      </c>
      <c r="B5853" s="5" t="s">
        <v>5095</v>
      </c>
      <c r="C5853" s="5" t="s">
        <v>11</v>
      </c>
      <c r="D5853" s="5" t="s">
        <v>12</v>
      </c>
      <c r="E5853" s="5" t="s">
        <v>3962</v>
      </c>
    </row>
    <row r="5854" spans="1:5" x14ac:dyDescent="0.25">
      <c r="A5854" s="5">
        <f>5846</f>
      </c>
      <c r="B5854" s="5" t="s">
        <v>5096</v>
      </c>
      <c r="C5854" s="5" t="s">
        <v>11</v>
      </c>
      <c r="D5854" s="5" t="s">
        <v>12</v>
      </c>
      <c r="E5854" s="5" t="s">
        <v>3962</v>
      </c>
    </row>
    <row r="5855" spans="1:5" x14ac:dyDescent="0.25">
      <c r="A5855" s="5">
        <f>5847</f>
      </c>
      <c r="B5855" s="5" t="s">
        <v>5097</v>
      </c>
      <c r="C5855" s="5" t="s">
        <v>11</v>
      </c>
      <c r="D5855" s="5" t="s">
        <v>12</v>
      </c>
      <c r="E5855" s="5" t="s">
        <v>3962</v>
      </c>
    </row>
    <row r="5856" spans="1:5" x14ac:dyDescent="0.25">
      <c r="A5856" s="5">
        <f>5848</f>
      </c>
      <c r="B5856" s="5" t="s">
        <v>5098</v>
      </c>
      <c r="C5856" s="5" t="s">
        <v>11</v>
      </c>
      <c r="D5856" s="5" t="s">
        <v>12</v>
      </c>
      <c r="E5856" s="5" t="s">
        <v>3962</v>
      </c>
    </row>
    <row r="5857" spans="1:5" x14ac:dyDescent="0.25">
      <c r="A5857" s="5">
        <f>5849</f>
      </c>
      <c r="B5857" s="5" t="s">
        <v>5099</v>
      </c>
      <c r="C5857" s="5" t="s">
        <v>11</v>
      </c>
      <c r="D5857" s="5" t="s">
        <v>12</v>
      </c>
      <c r="E5857" s="5" t="s">
        <v>3962</v>
      </c>
    </row>
    <row r="5858" spans="1:5" x14ac:dyDescent="0.25">
      <c r="A5858" s="5">
        <f>5850</f>
      </c>
      <c r="B5858" s="5" t="s">
        <v>5100</v>
      </c>
      <c r="C5858" s="5" t="s">
        <v>11</v>
      </c>
      <c r="D5858" s="5" t="s">
        <v>12</v>
      </c>
      <c r="E5858" s="5" t="s">
        <v>3962</v>
      </c>
    </row>
    <row r="5859" spans="1:5" x14ac:dyDescent="0.25">
      <c r="A5859" s="5">
        <f>5851</f>
      </c>
      <c r="B5859" s="5" t="s">
        <v>5101</v>
      </c>
      <c r="C5859" s="5" t="s">
        <v>11</v>
      </c>
      <c r="D5859" s="5" t="s">
        <v>12</v>
      </c>
      <c r="E5859" s="5" t="s">
        <v>3962</v>
      </c>
    </row>
    <row r="5860" spans="1:5" x14ac:dyDescent="0.25">
      <c r="A5860" s="5">
        <f>5852</f>
      </c>
      <c r="B5860" s="5" t="s">
        <v>5102</v>
      </c>
      <c r="C5860" s="5" t="s">
        <v>11</v>
      </c>
      <c r="D5860" s="5" t="s">
        <v>12</v>
      </c>
      <c r="E5860" s="5" t="s">
        <v>3962</v>
      </c>
    </row>
    <row r="5861" spans="1:5" x14ac:dyDescent="0.25">
      <c r="A5861" s="5">
        <f>5853</f>
      </c>
      <c r="B5861" s="5" t="s">
        <v>5103</v>
      </c>
      <c r="C5861" s="5" t="s">
        <v>11</v>
      </c>
      <c r="D5861" s="5" t="s">
        <v>12</v>
      </c>
      <c r="E5861" s="5" t="s">
        <v>3962</v>
      </c>
    </row>
    <row r="5862" spans="1:5" x14ac:dyDescent="0.25">
      <c r="A5862" s="5">
        <f>5854</f>
      </c>
      <c r="B5862" s="5" t="s">
        <v>5104</v>
      </c>
      <c r="C5862" s="5" t="s">
        <v>11</v>
      </c>
      <c r="D5862" s="5" t="s">
        <v>12</v>
      </c>
      <c r="E5862" s="5" t="s">
        <v>3962</v>
      </c>
    </row>
    <row r="5863" spans="1:5" x14ac:dyDescent="0.25">
      <c r="A5863" s="5">
        <f>5855</f>
      </c>
      <c r="B5863" s="5" t="s">
        <v>5105</v>
      </c>
      <c r="C5863" s="5" t="s">
        <v>11</v>
      </c>
      <c r="D5863" s="5" t="s">
        <v>12</v>
      </c>
      <c r="E5863" s="5" t="s">
        <v>3962</v>
      </c>
    </row>
    <row r="5864" spans="1:5" x14ac:dyDescent="0.25">
      <c r="A5864" s="5">
        <f>5856</f>
      </c>
      <c r="B5864" s="5" t="s">
        <v>5106</v>
      </c>
      <c r="C5864" s="5" t="s">
        <v>11</v>
      </c>
      <c r="D5864" s="5" t="s">
        <v>12</v>
      </c>
      <c r="E5864" s="5" t="s">
        <v>3962</v>
      </c>
    </row>
    <row r="5865" spans="1:5" x14ac:dyDescent="0.25">
      <c r="A5865" s="5">
        <f>5857</f>
      </c>
      <c r="B5865" s="5" t="s">
        <v>5107</v>
      </c>
      <c r="C5865" s="5" t="s">
        <v>11</v>
      </c>
      <c r="D5865" s="5" t="s">
        <v>12</v>
      </c>
      <c r="E5865" s="5" t="s">
        <v>3962</v>
      </c>
    </row>
    <row r="5866" spans="1:5" x14ac:dyDescent="0.25">
      <c r="A5866" s="5">
        <f>5858</f>
      </c>
      <c r="B5866" s="5" t="s">
        <v>5108</v>
      </c>
      <c r="C5866" s="5" t="s">
        <v>11</v>
      </c>
      <c r="D5866" s="5" t="s">
        <v>12</v>
      </c>
      <c r="E5866" s="5" t="s">
        <v>3962</v>
      </c>
    </row>
    <row r="5867" spans="1:5" x14ac:dyDescent="0.25">
      <c r="A5867" s="5">
        <f>5859</f>
      </c>
      <c r="B5867" s="5" t="s">
        <v>5109</v>
      </c>
      <c r="C5867" s="5" t="s">
        <v>11</v>
      </c>
      <c r="D5867" s="5" t="s">
        <v>12</v>
      </c>
      <c r="E5867" s="5" t="s">
        <v>3962</v>
      </c>
    </row>
    <row r="5868" spans="1:5" x14ac:dyDescent="0.25">
      <c r="A5868" s="5">
        <f>5860</f>
      </c>
      <c r="B5868" s="5" t="s">
        <v>5110</v>
      </c>
      <c r="C5868" s="5" t="s">
        <v>11</v>
      </c>
      <c r="D5868" s="5" t="s">
        <v>12</v>
      </c>
      <c r="E5868" s="5" t="s">
        <v>3962</v>
      </c>
    </row>
    <row r="5869" spans="1:5" x14ac:dyDescent="0.25">
      <c r="A5869" s="5">
        <f>5861</f>
      </c>
      <c r="B5869" s="5" t="s">
        <v>5111</v>
      </c>
      <c r="C5869" s="5" t="s">
        <v>11</v>
      </c>
      <c r="D5869" s="5" t="s">
        <v>12</v>
      </c>
      <c r="E5869" s="5" t="s">
        <v>3962</v>
      </c>
    </row>
    <row r="5870" spans="1:5" x14ac:dyDescent="0.25">
      <c r="A5870" s="5">
        <f>5862</f>
      </c>
      <c r="B5870" s="5" t="s">
        <v>5112</v>
      </c>
      <c r="C5870" s="5" t="s">
        <v>11</v>
      </c>
      <c r="D5870" s="5" t="s">
        <v>12</v>
      </c>
      <c r="E5870" s="5" t="s">
        <v>3962</v>
      </c>
    </row>
    <row r="5871" spans="1:5" x14ac:dyDescent="0.25">
      <c r="A5871" s="5">
        <f>5863</f>
      </c>
      <c r="B5871" s="5" t="s">
        <v>5113</v>
      </c>
      <c r="C5871" s="5" t="s">
        <v>11</v>
      </c>
      <c r="D5871" s="5" t="s">
        <v>12</v>
      </c>
      <c r="E5871" s="5" t="s">
        <v>3962</v>
      </c>
    </row>
    <row r="5872" spans="1:5" x14ac:dyDescent="0.25">
      <c r="A5872" s="5">
        <f>5864</f>
      </c>
      <c r="B5872" s="5" t="s">
        <v>5114</v>
      </c>
      <c r="C5872" s="5" t="s">
        <v>11</v>
      </c>
      <c r="D5872" s="5" t="s">
        <v>12</v>
      </c>
      <c r="E5872" s="5" t="s">
        <v>3962</v>
      </c>
    </row>
    <row r="5873" spans="1:5" x14ac:dyDescent="0.25">
      <c r="A5873" s="5">
        <f>5865</f>
      </c>
      <c r="B5873" s="5" t="s">
        <v>5115</v>
      </c>
      <c r="C5873" s="5" t="s">
        <v>11</v>
      </c>
      <c r="D5873" s="5" t="s">
        <v>12</v>
      </c>
      <c r="E5873" s="5" t="s">
        <v>3962</v>
      </c>
    </row>
    <row r="5874" spans="1:5" x14ac:dyDescent="0.25">
      <c r="A5874" s="5">
        <f>5866</f>
      </c>
      <c r="B5874" s="5" t="s">
        <v>5116</v>
      </c>
      <c r="C5874" s="5" t="s">
        <v>11</v>
      </c>
      <c r="D5874" s="5" t="s">
        <v>12</v>
      </c>
      <c r="E5874" s="5" t="s">
        <v>3962</v>
      </c>
    </row>
    <row r="5875" spans="1:5" x14ac:dyDescent="0.25">
      <c r="A5875" s="5">
        <f>5867</f>
      </c>
      <c r="B5875" s="5" t="s">
        <v>5117</v>
      </c>
      <c r="C5875" s="5" t="s">
        <v>11</v>
      </c>
      <c r="D5875" s="5" t="s">
        <v>12</v>
      </c>
      <c r="E5875" s="5" t="s">
        <v>3962</v>
      </c>
    </row>
    <row r="5876" spans="1:5" x14ac:dyDescent="0.25">
      <c r="A5876" s="5">
        <f>5868</f>
      </c>
      <c r="B5876" s="5" t="s">
        <v>5118</v>
      </c>
      <c r="C5876" s="5" t="s">
        <v>11</v>
      </c>
      <c r="D5876" s="5" t="s">
        <v>12</v>
      </c>
      <c r="E5876" s="5" t="s">
        <v>3962</v>
      </c>
    </row>
    <row r="5877" spans="1:5" x14ac:dyDescent="0.25">
      <c r="A5877" s="5">
        <f>5869</f>
      </c>
      <c r="B5877" s="5" t="s">
        <v>5119</v>
      </c>
      <c r="C5877" s="5" t="s">
        <v>11</v>
      </c>
      <c r="D5877" s="5" t="s">
        <v>12</v>
      </c>
      <c r="E5877" s="5" t="s">
        <v>3962</v>
      </c>
    </row>
    <row r="5878" spans="1:5" x14ac:dyDescent="0.25">
      <c r="A5878" s="5">
        <f>5870</f>
      </c>
      <c r="B5878" s="5" t="s">
        <v>5120</v>
      </c>
      <c r="C5878" s="5" t="s">
        <v>11</v>
      </c>
      <c r="D5878" s="5" t="s">
        <v>12</v>
      </c>
      <c r="E5878" s="5" t="s">
        <v>3962</v>
      </c>
    </row>
    <row r="5879" spans="1:5" x14ac:dyDescent="0.25">
      <c r="A5879" s="5">
        <f>5871</f>
      </c>
      <c r="B5879" s="5" t="s">
        <v>5121</v>
      </c>
      <c r="C5879" s="5" t="s">
        <v>11</v>
      </c>
      <c r="D5879" s="5" t="s">
        <v>12</v>
      </c>
      <c r="E5879" s="5" t="s">
        <v>3962</v>
      </c>
    </row>
    <row r="5880" spans="1:5" x14ac:dyDescent="0.25">
      <c r="A5880" s="5">
        <f>5872</f>
      </c>
      <c r="B5880" s="5" t="s">
        <v>5122</v>
      </c>
      <c r="C5880" s="5" t="s">
        <v>11</v>
      </c>
      <c r="D5880" s="5" t="s">
        <v>12</v>
      </c>
      <c r="E5880" s="5" t="s">
        <v>3962</v>
      </c>
    </row>
    <row r="5881" spans="1:5" x14ac:dyDescent="0.25">
      <c r="A5881" s="5">
        <f>5873</f>
      </c>
      <c r="B5881" s="5" t="s">
        <v>5123</v>
      </c>
      <c r="C5881" s="5" t="s">
        <v>11</v>
      </c>
      <c r="D5881" s="5" t="s">
        <v>12</v>
      </c>
      <c r="E5881" s="5" t="s">
        <v>3962</v>
      </c>
    </row>
    <row r="5882" spans="1:5" x14ac:dyDescent="0.25">
      <c r="A5882" s="5">
        <f>5874</f>
      </c>
      <c r="B5882" s="5" t="s">
        <v>5124</v>
      </c>
      <c r="C5882" s="5" t="s">
        <v>11</v>
      </c>
      <c r="D5882" s="5" t="s">
        <v>12</v>
      </c>
      <c r="E5882" s="5" t="s">
        <v>3962</v>
      </c>
    </row>
    <row r="5883" spans="1:5" x14ac:dyDescent="0.25">
      <c r="A5883" s="5">
        <f>5875</f>
      </c>
      <c r="B5883" s="5" t="s">
        <v>5125</v>
      </c>
      <c r="C5883" s="5" t="s">
        <v>11</v>
      </c>
      <c r="D5883" s="5" t="s">
        <v>12</v>
      </c>
      <c r="E5883" s="5" t="s">
        <v>3962</v>
      </c>
    </row>
    <row r="5884" spans="1:5" x14ac:dyDescent="0.25">
      <c r="A5884" s="5">
        <f>5876</f>
      </c>
      <c r="B5884" s="5" t="s">
        <v>5126</v>
      </c>
      <c r="C5884" s="5" t="s">
        <v>11</v>
      </c>
      <c r="D5884" s="5" t="s">
        <v>12</v>
      </c>
      <c r="E5884" s="5" t="s">
        <v>3962</v>
      </c>
    </row>
    <row r="5885" spans="1:5" x14ac:dyDescent="0.25">
      <c r="A5885" s="5">
        <f>5877</f>
      </c>
      <c r="B5885" s="5" t="s">
        <v>5127</v>
      </c>
      <c r="C5885" s="5" t="s">
        <v>11</v>
      </c>
      <c r="D5885" s="5" t="s">
        <v>12</v>
      </c>
      <c r="E5885" s="5" t="s">
        <v>3962</v>
      </c>
    </row>
    <row r="5886" spans="1:5" x14ac:dyDescent="0.25">
      <c r="A5886" s="5">
        <f>5878</f>
      </c>
      <c r="B5886" s="5" t="s">
        <v>5128</v>
      </c>
      <c r="C5886" s="5" t="s">
        <v>11</v>
      </c>
      <c r="D5886" s="5" t="s">
        <v>12</v>
      </c>
      <c r="E5886" s="5" t="s">
        <v>3962</v>
      </c>
    </row>
    <row r="5887" spans="1:5" x14ac:dyDescent="0.25">
      <c r="A5887" s="5">
        <f>5879</f>
      </c>
      <c r="B5887" s="5" t="s">
        <v>5129</v>
      </c>
      <c r="C5887" s="5" t="s">
        <v>11</v>
      </c>
      <c r="D5887" s="5" t="s">
        <v>12</v>
      </c>
      <c r="E5887" s="5" t="s">
        <v>3962</v>
      </c>
    </row>
    <row r="5888" spans="1:5" x14ac:dyDescent="0.25">
      <c r="A5888" s="5">
        <f>5880</f>
      </c>
      <c r="B5888" s="5" t="s">
        <v>5130</v>
      </c>
      <c r="C5888" s="5" t="s">
        <v>11</v>
      </c>
      <c r="D5888" s="5" t="s">
        <v>12</v>
      </c>
      <c r="E5888" s="5" t="s">
        <v>3962</v>
      </c>
    </row>
    <row r="5889" spans="1:5" x14ac:dyDescent="0.25">
      <c r="A5889" s="5">
        <f>5881</f>
      </c>
      <c r="B5889" s="5" t="s">
        <v>5131</v>
      </c>
      <c r="C5889" s="5" t="s">
        <v>11</v>
      </c>
      <c r="D5889" s="5" t="s">
        <v>12</v>
      </c>
      <c r="E5889" s="5" t="s">
        <v>3962</v>
      </c>
    </row>
    <row r="5890" spans="1:5" x14ac:dyDescent="0.25">
      <c r="A5890" s="5">
        <f>5882</f>
      </c>
      <c r="B5890" s="5" t="s">
        <v>5132</v>
      </c>
      <c r="C5890" s="5" t="s">
        <v>11</v>
      </c>
      <c r="D5890" s="5" t="s">
        <v>12</v>
      </c>
      <c r="E5890" s="5" t="s">
        <v>3962</v>
      </c>
    </row>
    <row r="5891" spans="1:5" x14ac:dyDescent="0.25">
      <c r="A5891" s="5">
        <f>5883</f>
      </c>
      <c r="B5891" s="5" t="s">
        <v>5133</v>
      </c>
      <c r="C5891" s="5" t="s">
        <v>11</v>
      </c>
      <c r="D5891" s="5" t="s">
        <v>12</v>
      </c>
      <c r="E5891" s="5" t="s">
        <v>3962</v>
      </c>
    </row>
    <row r="5892" spans="1:5" x14ac:dyDescent="0.25">
      <c r="A5892" s="5">
        <f>5884</f>
      </c>
      <c r="B5892" s="5" t="s">
        <v>5134</v>
      </c>
      <c r="C5892" s="5" t="s">
        <v>11</v>
      </c>
      <c r="D5892" s="5" t="s">
        <v>12</v>
      </c>
      <c r="E5892" s="5" t="s">
        <v>3962</v>
      </c>
    </row>
    <row r="5893" spans="1:5" x14ac:dyDescent="0.25">
      <c r="A5893" s="5">
        <f>5885</f>
      </c>
      <c r="B5893" s="5" t="s">
        <v>5135</v>
      </c>
      <c r="C5893" s="5" t="s">
        <v>11</v>
      </c>
      <c r="D5893" s="5" t="s">
        <v>12</v>
      </c>
      <c r="E5893" s="5" t="s">
        <v>3962</v>
      </c>
    </row>
    <row r="5894" spans="1:5" x14ac:dyDescent="0.25">
      <c r="A5894" s="5">
        <f>5886</f>
      </c>
      <c r="B5894" s="5" t="s">
        <v>5136</v>
      </c>
      <c r="C5894" s="5" t="s">
        <v>11</v>
      </c>
      <c r="D5894" s="5" t="s">
        <v>12</v>
      </c>
      <c r="E5894" s="5" t="s">
        <v>3962</v>
      </c>
    </row>
    <row r="5895" spans="1:5" x14ac:dyDescent="0.25">
      <c r="A5895" s="5">
        <f>5887</f>
      </c>
      <c r="B5895" s="5" t="s">
        <v>5137</v>
      </c>
      <c r="C5895" s="5" t="s">
        <v>11</v>
      </c>
      <c r="D5895" s="5" t="s">
        <v>12</v>
      </c>
      <c r="E5895" s="5" t="s">
        <v>3962</v>
      </c>
    </row>
    <row r="5896" spans="1:5" x14ac:dyDescent="0.25">
      <c r="A5896" s="5">
        <f>5888</f>
      </c>
      <c r="B5896" s="5" t="s">
        <v>5138</v>
      </c>
      <c r="C5896" s="5" t="s">
        <v>11</v>
      </c>
      <c r="D5896" s="5" t="s">
        <v>12</v>
      </c>
      <c r="E5896" s="5" t="s">
        <v>3962</v>
      </c>
    </row>
    <row r="5897" spans="1:5" x14ac:dyDescent="0.25">
      <c r="A5897" s="5">
        <f>5889</f>
      </c>
      <c r="B5897" s="5" t="s">
        <v>5139</v>
      </c>
      <c r="C5897" s="5" t="s">
        <v>11</v>
      </c>
      <c r="D5897" s="5" t="s">
        <v>12</v>
      </c>
      <c r="E5897" s="5" t="s">
        <v>3962</v>
      </c>
    </row>
    <row r="5898" spans="1:5" x14ac:dyDescent="0.25">
      <c r="A5898" s="5">
        <f>5890</f>
      </c>
      <c r="B5898" s="5" t="s">
        <v>5140</v>
      </c>
      <c r="C5898" s="5" t="s">
        <v>11</v>
      </c>
      <c r="D5898" s="5" t="s">
        <v>12</v>
      </c>
      <c r="E5898" s="5" t="s">
        <v>3962</v>
      </c>
    </row>
    <row r="5899" spans="1:5" x14ac:dyDescent="0.25">
      <c r="A5899" s="5">
        <f>5891</f>
      </c>
      <c r="B5899" s="5" t="s">
        <v>5141</v>
      </c>
      <c r="C5899" s="5" t="s">
        <v>11</v>
      </c>
      <c r="D5899" s="5" t="s">
        <v>12</v>
      </c>
      <c r="E5899" s="5" t="s">
        <v>3962</v>
      </c>
    </row>
    <row r="5900" spans="1:5" x14ac:dyDescent="0.25">
      <c r="A5900" s="5">
        <f>5892</f>
      </c>
      <c r="B5900" s="5" t="s">
        <v>5142</v>
      </c>
      <c r="C5900" s="5" t="s">
        <v>11</v>
      </c>
      <c r="D5900" s="5" t="s">
        <v>12</v>
      </c>
      <c r="E5900" s="5" t="s">
        <v>3962</v>
      </c>
    </row>
    <row r="5901" spans="1:5" x14ac:dyDescent="0.25">
      <c r="A5901" s="5">
        <f>5893</f>
      </c>
      <c r="B5901" s="5" t="s">
        <v>5143</v>
      </c>
      <c r="C5901" s="5" t="s">
        <v>11</v>
      </c>
      <c r="D5901" s="5" t="s">
        <v>12</v>
      </c>
      <c r="E5901" s="5" t="s">
        <v>3962</v>
      </c>
    </row>
    <row r="5902" spans="1:5" x14ac:dyDescent="0.25">
      <c r="A5902" s="5">
        <f>5894</f>
      </c>
      <c r="B5902" s="5" t="s">
        <v>5144</v>
      </c>
      <c r="C5902" s="5" t="s">
        <v>11</v>
      </c>
      <c r="D5902" s="5" t="s">
        <v>12</v>
      </c>
      <c r="E5902" s="5" t="s">
        <v>3962</v>
      </c>
    </row>
    <row r="5903" spans="1:5" x14ac:dyDescent="0.25">
      <c r="A5903" s="5">
        <f>5895</f>
      </c>
      <c r="B5903" s="5" t="s">
        <v>5145</v>
      </c>
      <c r="C5903" s="5" t="s">
        <v>11</v>
      </c>
      <c r="D5903" s="5" t="s">
        <v>12</v>
      </c>
      <c r="E5903" s="5" t="s">
        <v>3962</v>
      </c>
    </row>
    <row r="5904" spans="1:5" x14ac:dyDescent="0.25">
      <c r="A5904" s="5">
        <f>5896</f>
      </c>
      <c r="B5904" s="5" t="s">
        <v>5146</v>
      </c>
      <c r="C5904" s="5" t="s">
        <v>11</v>
      </c>
      <c r="D5904" s="5" t="s">
        <v>12</v>
      </c>
      <c r="E5904" s="5" t="s">
        <v>3962</v>
      </c>
    </row>
    <row r="5905" spans="1:5" x14ac:dyDescent="0.25">
      <c r="A5905" s="5">
        <f>5897</f>
      </c>
      <c r="B5905" s="5" t="s">
        <v>5147</v>
      </c>
      <c r="C5905" s="5" t="s">
        <v>11</v>
      </c>
      <c r="D5905" s="5" t="s">
        <v>12</v>
      </c>
      <c r="E5905" s="5" t="s">
        <v>3962</v>
      </c>
    </row>
    <row r="5906" spans="1:5" x14ac:dyDescent="0.25">
      <c r="A5906" s="5">
        <f>5898</f>
      </c>
      <c r="B5906" s="5" t="s">
        <v>5148</v>
      </c>
      <c r="C5906" s="5" t="s">
        <v>11</v>
      </c>
      <c r="D5906" s="5" t="s">
        <v>12</v>
      </c>
      <c r="E5906" s="5" t="s">
        <v>3962</v>
      </c>
    </row>
    <row r="5907" spans="1:5" x14ac:dyDescent="0.25">
      <c r="A5907" s="5">
        <f>5899</f>
      </c>
      <c r="B5907" s="5" t="s">
        <v>5149</v>
      </c>
      <c r="C5907" s="5" t="s">
        <v>11</v>
      </c>
      <c r="D5907" s="5" t="s">
        <v>12</v>
      </c>
      <c r="E5907" s="5" t="s">
        <v>3962</v>
      </c>
    </row>
    <row r="5908" spans="1:5" x14ac:dyDescent="0.25">
      <c r="A5908" s="5">
        <f>5900</f>
      </c>
      <c r="B5908" s="5" t="s">
        <v>5150</v>
      </c>
      <c r="C5908" s="5" t="s">
        <v>11</v>
      </c>
      <c r="D5908" s="5" t="s">
        <v>12</v>
      </c>
      <c r="E5908" s="5" t="s">
        <v>3962</v>
      </c>
    </row>
    <row r="5909" spans="1:5" x14ac:dyDescent="0.25">
      <c r="A5909" s="5">
        <f>5901</f>
      </c>
      <c r="B5909" s="5" t="s">
        <v>5151</v>
      </c>
      <c r="C5909" s="5" t="s">
        <v>11</v>
      </c>
      <c r="D5909" s="5" t="s">
        <v>12</v>
      </c>
      <c r="E5909" s="5" t="s">
        <v>3962</v>
      </c>
    </row>
    <row r="5910" spans="1:5" x14ac:dyDescent="0.25">
      <c r="A5910" s="5">
        <f>5902</f>
      </c>
      <c r="B5910" s="5" t="s">
        <v>5152</v>
      </c>
      <c r="C5910" s="5" t="s">
        <v>11</v>
      </c>
      <c r="D5910" s="5" t="s">
        <v>12</v>
      </c>
      <c r="E5910" s="5" t="s">
        <v>3962</v>
      </c>
    </row>
    <row r="5911" spans="1:5" x14ac:dyDescent="0.25">
      <c r="A5911" s="5">
        <f>5903</f>
      </c>
      <c r="B5911" s="5" t="s">
        <v>5153</v>
      </c>
      <c r="C5911" s="5" t="s">
        <v>11</v>
      </c>
      <c r="D5911" s="5" t="s">
        <v>12</v>
      </c>
      <c r="E5911" s="5" t="s">
        <v>3962</v>
      </c>
    </row>
    <row r="5912" spans="1:5" x14ac:dyDescent="0.25">
      <c r="A5912" s="5">
        <f>5904</f>
      </c>
      <c r="B5912" s="5" t="s">
        <v>5154</v>
      </c>
      <c r="C5912" s="5" t="s">
        <v>11</v>
      </c>
      <c r="D5912" s="5" t="s">
        <v>12</v>
      </c>
      <c r="E5912" s="5" t="s">
        <v>3962</v>
      </c>
    </row>
    <row r="5913" spans="1:5" x14ac:dyDescent="0.25">
      <c r="A5913" s="5">
        <f>5905</f>
      </c>
      <c r="B5913" s="5" t="s">
        <v>5155</v>
      </c>
      <c r="C5913" s="5" t="s">
        <v>11</v>
      </c>
      <c r="D5913" s="5" t="s">
        <v>12</v>
      </c>
      <c r="E5913" s="5" t="s">
        <v>3962</v>
      </c>
    </row>
    <row r="5914" spans="1:5" x14ac:dyDescent="0.25">
      <c r="A5914" s="5">
        <f>5906</f>
      </c>
      <c r="B5914" s="5" t="s">
        <v>5156</v>
      </c>
      <c r="C5914" s="5" t="s">
        <v>11</v>
      </c>
      <c r="D5914" s="5" t="s">
        <v>12</v>
      </c>
      <c r="E5914" s="5" t="s">
        <v>3962</v>
      </c>
    </row>
    <row r="5915" spans="1:5" x14ac:dyDescent="0.25">
      <c r="A5915" s="5">
        <f>5907</f>
      </c>
      <c r="B5915" s="5" t="s">
        <v>5157</v>
      </c>
      <c r="C5915" s="5" t="s">
        <v>11</v>
      </c>
      <c r="D5915" s="5" t="s">
        <v>12</v>
      </c>
      <c r="E5915" s="5" t="s">
        <v>3962</v>
      </c>
    </row>
    <row r="5916" spans="1:5" x14ac:dyDescent="0.25">
      <c r="A5916" s="5">
        <f>5908</f>
      </c>
      <c r="B5916" s="5" t="s">
        <v>5158</v>
      </c>
      <c r="C5916" s="5" t="s">
        <v>11</v>
      </c>
      <c r="D5916" s="5" t="s">
        <v>12</v>
      </c>
      <c r="E5916" s="5" t="s">
        <v>3962</v>
      </c>
    </row>
    <row r="5917" spans="1:5" x14ac:dyDescent="0.25">
      <c r="A5917" s="5">
        <f>5909</f>
      </c>
      <c r="B5917" s="5" t="s">
        <v>5159</v>
      </c>
      <c r="C5917" s="5" t="s">
        <v>11</v>
      </c>
      <c r="D5917" s="5" t="s">
        <v>12</v>
      </c>
      <c r="E5917" s="5" t="s">
        <v>3962</v>
      </c>
    </row>
    <row r="5918" spans="1:5" x14ac:dyDescent="0.25">
      <c r="A5918" s="5">
        <f>5910</f>
      </c>
      <c r="B5918" s="5" t="s">
        <v>5160</v>
      </c>
      <c r="C5918" s="5" t="s">
        <v>11</v>
      </c>
      <c r="D5918" s="5" t="s">
        <v>12</v>
      </c>
      <c r="E5918" s="5" t="s">
        <v>3962</v>
      </c>
    </row>
    <row r="5919" spans="1:5" x14ac:dyDescent="0.25">
      <c r="A5919" s="5">
        <f>5911</f>
      </c>
      <c r="B5919" s="5" t="s">
        <v>5161</v>
      </c>
      <c r="C5919" s="5" t="s">
        <v>11</v>
      </c>
      <c r="D5919" s="5" t="s">
        <v>12</v>
      </c>
      <c r="E5919" s="5" t="s">
        <v>3962</v>
      </c>
    </row>
    <row r="5920" spans="1:5" x14ac:dyDescent="0.25">
      <c r="A5920" s="5">
        <f>5912</f>
      </c>
      <c r="B5920" s="5" t="s">
        <v>5162</v>
      </c>
      <c r="C5920" s="5" t="s">
        <v>11</v>
      </c>
      <c r="D5920" s="5" t="s">
        <v>12</v>
      </c>
      <c r="E5920" s="5" t="s">
        <v>3962</v>
      </c>
    </row>
    <row r="5921" spans="1:5" x14ac:dyDescent="0.25">
      <c r="A5921" s="5">
        <f>5913</f>
      </c>
      <c r="B5921" s="5" t="s">
        <v>5163</v>
      </c>
      <c r="C5921" s="5" t="s">
        <v>11</v>
      </c>
      <c r="D5921" s="5" t="s">
        <v>12</v>
      </c>
      <c r="E5921" s="5" t="s">
        <v>3962</v>
      </c>
    </row>
    <row r="5922" spans="1:5" x14ac:dyDescent="0.25">
      <c r="A5922" s="5">
        <f>5914</f>
      </c>
      <c r="B5922" s="5" t="s">
        <v>5164</v>
      </c>
      <c r="C5922" s="5" t="s">
        <v>11</v>
      </c>
      <c r="D5922" s="5" t="s">
        <v>12</v>
      </c>
      <c r="E5922" s="5" t="s">
        <v>3962</v>
      </c>
    </row>
    <row r="5923" spans="1:5" x14ac:dyDescent="0.25">
      <c r="A5923" s="5">
        <f>5915</f>
      </c>
      <c r="B5923" s="5" t="s">
        <v>5165</v>
      </c>
      <c r="C5923" s="5" t="s">
        <v>11</v>
      </c>
      <c r="D5923" s="5" t="s">
        <v>12</v>
      </c>
      <c r="E5923" s="5" t="s">
        <v>3962</v>
      </c>
    </row>
    <row r="5924" spans="1:5" x14ac:dyDescent="0.25">
      <c r="A5924" s="5">
        <f>5916</f>
      </c>
      <c r="B5924" s="5" t="s">
        <v>5166</v>
      </c>
      <c r="C5924" s="5" t="s">
        <v>11</v>
      </c>
      <c r="D5924" s="5" t="s">
        <v>12</v>
      </c>
      <c r="E5924" s="5" t="s">
        <v>3962</v>
      </c>
    </row>
    <row r="5925" spans="1:5" x14ac:dyDescent="0.25">
      <c r="A5925" s="5">
        <f>5917</f>
      </c>
      <c r="B5925" s="5" t="s">
        <v>5167</v>
      </c>
      <c r="C5925" s="5" t="s">
        <v>11</v>
      </c>
      <c r="D5925" s="5" t="s">
        <v>12</v>
      </c>
      <c r="E5925" s="5" t="s">
        <v>3962</v>
      </c>
    </row>
    <row r="5926" spans="1:5" x14ac:dyDescent="0.25">
      <c r="A5926" s="5">
        <f>5918</f>
      </c>
      <c r="B5926" s="5" t="s">
        <v>5168</v>
      </c>
      <c r="C5926" s="5" t="s">
        <v>11</v>
      </c>
      <c r="D5926" s="5" t="s">
        <v>12</v>
      </c>
      <c r="E5926" s="5" t="s">
        <v>3962</v>
      </c>
    </row>
    <row r="5927" spans="1:5" x14ac:dyDescent="0.25">
      <c r="A5927" s="5">
        <f>5919</f>
      </c>
      <c r="B5927" s="5" t="s">
        <v>5169</v>
      </c>
      <c r="C5927" s="5" t="s">
        <v>11</v>
      </c>
      <c r="D5927" s="5" t="s">
        <v>12</v>
      </c>
      <c r="E5927" s="5" t="s">
        <v>3962</v>
      </c>
    </row>
    <row r="5928" spans="1:5" x14ac:dyDescent="0.25">
      <c r="A5928" s="5">
        <f>5920</f>
      </c>
      <c r="B5928" s="5" t="s">
        <v>5170</v>
      </c>
      <c r="C5928" s="5" t="s">
        <v>11</v>
      </c>
      <c r="D5928" s="5" t="s">
        <v>12</v>
      </c>
      <c r="E5928" s="5" t="s">
        <v>3962</v>
      </c>
    </row>
    <row r="5929" spans="1:5" x14ac:dyDescent="0.25">
      <c r="A5929" s="5">
        <f>5921</f>
      </c>
      <c r="B5929" s="5" t="s">
        <v>5171</v>
      </c>
      <c r="C5929" s="5" t="s">
        <v>11</v>
      </c>
      <c r="D5929" s="5" t="s">
        <v>12</v>
      </c>
      <c r="E5929" s="5" t="s">
        <v>3962</v>
      </c>
    </row>
    <row r="5930" spans="1:5" x14ac:dyDescent="0.25">
      <c r="A5930" s="5">
        <f>5922</f>
      </c>
      <c r="B5930" s="5" t="s">
        <v>5172</v>
      </c>
      <c r="C5930" s="5" t="s">
        <v>11</v>
      </c>
      <c r="D5930" s="5" t="s">
        <v>12</v>
      </c>
      <c r="E5930" s="5" t="s">
        <v>3962</v>
      </c>
    </row>
    <row r="5931" spans="1:5" x14ac:dyDescent="0.25">
      <c r="A5931" s="5">
        <f>5923</f>
      </c>
      <c r="B5931" s="5" t="s">
        <v>5173</v>
      </c>
      <c r="C5931" s="5" t="s">
        <v>11</v>
      </c>
      <c r="D5931" s="5" t="s">
        <v>12</v>
      </c>
      <c r="E5931" s="5" t="s">
        <v>3962</v>
      </c>
    </row>
    <row r="5932" spans="1:5" x14ac:dyDescent="0.25">
      <c r="A5932" s="5">
        <f>5924</f>
      </c>
      <c r="B5932" s="5" t="s">
        <v>5174</v>
      </c>
      <c r="C5932" s="5" t="s">
        <v>11</v>
      </c>
      <c r="D5932" s="5" t="s">
        <v>12</v>
      </c>
      <c r="E5932" s="5" t="s">
        <v>3962</v>
      </c>
    </row>
    <row r="5933" spans="1:5" x14ac:dyDescent="0.25">
      <c r="A5933" s="5">
        <f>5925</f>
      </c>
      <c r="B5933" s="5" t="s">
        <v>5175</v>
      </c>
      <c r="C5933" s="5" t="s">
        <v>11</v>
      </c>
      <c r="D5933" s="5" t="s">
        <v>12</v>
      </c>
      <c r="E5933" s="5" t="s">
        <v>3962</v>
      </c>
    </row>
    <row r="5934" spans="1:5" x14ac:dyDescent="0.25">
      <c r="A5934" s="5">
        <f>5926</f>
      </c>
      <c r="B5934" s="5" t="s">
        <v>5176</v>
      </c>
      <c r="C5934" s="5" t="s">
        <v>11</v>
      </c>
      <c r="D5934" s="5" t="s">
        <v>12</v>
      </c>
      <c r="E5934" s="5" t="s">
        <v>3962</v>
      </c>
    </row>
    <row r="5935" spans="1:5" x14ac:dyDescent="0.25">
      <c r="A5935" s="5">
        <f>5927</f>
      </c>
      <c r="B5935" s="5" t="s">
        <v>5177</v>
      </c>
      <c r="C5935" s="5" t="s">
        <v>11</v>
      </c>
      <c r="D5935" s="5" t="s">
        <v>12</v>
      </c>
      <c r="E5935" s="5" t="s">
        <v>3962</v>
      </c>
    </row>
    <row r="5936" spans="1:5" x14ac:dyDescent="0.25">
      <c r="A5936" s="5">
        <f>5928</f>
      </c>
      <c r="B5936" s="5" t="s">
        <v>5178</v>
      </c>
      <c r="C5936" s="5" t="s">
        <v>11</v>
      </c>
      <c r="D5936" s="5" t="s">
        <v>12</v>
      </c>
      <c r="E5936" s="5" t="s">
        <v>3962</v>
      </c>
    </row>
    <row r="5937" spans="1:5" x14ac:dyDescent="0.25">
      <c r="A5937" s="5">
        <f>5929</f>
      </c>
      <c r="B5937" s="5" t="s">
        <v>5179</v>
      </c>
      <c r="C5937" s="5" t="s">
        <v>11</v>
      </c>
      <c r="D5937" s="5" t="s">
        <v>12</v>
      </c>
      <c r="E5937" s="5" t="s">
        <v>3962</v>
      </c>
    </row>
    <row r="5938" spans="1:5" x14ac:dyDescent="0.25">
      <c r="A5938" s="5">
        <f>5930</f>
      </c>
      <c r="B5938" s="5" t="s">
        <v>5180</v>
      </c>
      <c r="C5938" s="5" t="s">
        <v>11</v>
      </c>
      <c r="D5938" s="5" t="s">
        <v>12</v>
      </c>
      <c r="E5938" s="5" t="s">
        <v>3962</v>
      </c>
    </row>
    <row r="5939" spans="1:5" x14ac:dyDescent="0.25">
      <c r="A5939" s="5">
        <f>5931</f>
      </c>
      <c r="B5939" s="5" t="s">
        <v>5181</v>
      </c>
      <c r="C5939" s="5" t="s">
        <v>11</v>
      </c>
      <c r="D5939" s="5" t="s">
        <v>12</v>
      </c>
      <c r="E5939" s="5" t="s">
        <v>3962</v>
      </c>
    </row>
    <row r="5940" spans="1:5" x14ac:dyDescent="0.25">
      <c r="A5940" s="5">
        <f>5932</f>
      </c>
      <c r="B5940" s="5" t="s">
        <v>5182</v>
      </c>
      <c r="C5940" s="5" t="s">
        <v>11</v>
      </c>
      <c r="D5940" s="5" t="s">
        <v>12</v>
      </c>
      <c r="E5940" s="5" t="s">
        <v>3962</v>
      </c>
    </row>
    <row r="5941" spans="1:5" x14ac:dyDescent="0.25">
      <c r="A5941" s="5">
        <f>5933</f>
      </c>
      <c r="B5941" s="5" t="s">
        <v>5183</v>
      </c>
      <c r="C5941" s="5" t="s">
        <v>11</v>
      </c>
      <c r="D5941" s="5" t="s">
        <v>12</v>
      </c>
      <c r="E5941" s="5" t="s">
        <v>3962</v>
      </c>
    </row>
    <row r="5942" spans="1:5" x14ac:dyDescent="0.25">
      <c r="A5942" s="5">
        <f>5934</f>
      </c>
      <c r="B5942" s="5" t="s">
        <v>5184</v>
      </c>
      <c r="C5942" s="5" t="s">
        <v>11</v>
      </c>
      <c r="D5942" s="5" t="s">
        <v>12</v>
      </c>
      <c r="E5942" s="5" t="s">
        <v>3962</v>
      </c>
    </row>
    <row r="5943" spans="1:5" x14ac:dyDescent="0.25">
      <c r="A5943" s="5">
        <f>5935</f>
      </c>
      <c r="B5943" s="5" t="s">
        <v>5185</v>
      </c>
      <c r="C5943" s="5" t="s">
        <v>11</v>
      </c>
      <c r="D5943" s="5" t="s">
        <v>12</v>
      </c>
      <c r="E5943" s="5" t="s">
        <v>3962</v>
      </c>
    </row>
    <row r="5944" spans="1:5" x14ac:dyDescent="0.25">
      <c r="A5944" s="5">
        <f>5936</f>
      </c>
      <c r="B5944" s="5" t="s">
        <v>5186</v>
      </c>
      <c r="C5944" s="5" t="s">
        <v>11</v>
      </c>
      <c r="D5944" s="5" t="s">
        <v>12</v>
      </c>
      <c r="E5944" s="5" t="s">
        <v>3962</v>
      </c>
    </row>
    <row r="5945" spans="1:5" x14ac:dyDescent="0.25">
      <c r="A5945" s="5">
        <f>5937</f>
      </c>
      <c r="B5945" s="5" t="s">
        <v>5187</v>
      </c>
      <c r="C5945" s="5" t="s">
        <v>11</v>
      </c>
      <c r="D5945" s="5" t="s">
        <v>12</v>
      </c>
      <c r="E5945" s="5" t="s">
        <v>3962</v>
      </c>
    </row>
    <row r="5946" spans="1:5" x14ac:dyDescent="0.25">
      <c r="A5946" s="5">
        <f>5938</f>
      </c>
      <c r="B5946" s="5" t="s">
        <v>5188</v>
      </c>
      <c r="C5946" s="5" t="s">
        <v>11</v>
      </c>
      <c r="D5946" s="5" t="s">
        <v>12</v>
      </c>
      <c r="E5946" s="5" t="s">
        <v>3962</v>
      </c>
    </row>
    <row r="5947" spans="1:5" x14ac:dyDescent="0.25">
      <c r="A5947" s="5">
        <f>5939</f>
      </c>
      <c r="B5947" s="5" t="s">
        <v>5189</v>
      </c>
      <c r="C5947" s="5" t="s">
        <v>11</v>
      </c>
      <c r="D5947" s="5" t="s">
        <v>12</v>
      </c>
      <c r="E5947" s="5" t="s">
        <v>3962</v>
      </c>
    </row>
    <row r="5948" spans="1:5" x14ac:dyDescent="0.25">
      <c r="A5948" s="5">
        <f>5940</f>
      </c>
      <c r="B5948" s="5" t="s">
        <v>5190</v>
      </c>
      <c r="C5948" s="5" t="s">
        <v>11</v>
      </c>
      <c r="D5948" s="5" t="s">
        <v>12</v>
      </c>
      <c r="E5948" s="5" t="s">
        <v>3962</v>
      </c>
    </row>
    <row r="5949" spans="1:5" x14ac:dyDescent="0.25">
      <c r="A5949" s="5">
        <f>5941</f>
      </c>
      <c r="B5949" s="5" t="s">
        <v>5191</v>
      </c>
      <c r="C5949" s="5" t="s">
        <v>11</v>
      </c>
      <c r="D5949" s="5" t="s">
        <v>12</v>
      </c>
      <c r="E5949" s="5" t="s">
        <v>3962</v>
      </c>
    </row>
    <row r="5950" spans="1:5" x14ac:dyDescent="0.25">
      <c r="A5950" s="5">
        <f>5942</f>
      </c>
      <c r="B5950" s="5" t="s">
        <v>5192</v>
      </c>
      <c r="C5950" s="5" t="s">
        <v>11</v>
      </c>
      <c r="D5950" s="5" t="s">
        <v>12</v>
      </c>
      <c r="E5950" s="5" t="s">
        <v>3962</v>
      </c>
    </row>
    <row r="5951" spans="1:5" x14ac:dyDescent="0.25">
      <c r="A5951" s="5">
        <f>5943</f>
      </c>
      <c r="B5951" s="5" t="s">
        <v>5193</v>
      </c>
      <c r="C5951" s="5" t="s">
        <v>11</v>
      </c>
      <c r="D5951" s="5" t="s">
        <v>12</v>
      </c>
      <c r="E5951" s="5" t="s">
        <v>3962</v>
      </c>
    </row>
    <row r="5952" spans="1:5" x14ac:dyDescent="0.25">
      <c r="A5952" s="5">
        <f>5944</f>
      </c>
      <c r="B5952" s="5" t="s">
        <v>5194</v>
      </c>
      <c r="C5952" s="5" t="s">
        <v>11</v>
      </c>
      <c r="D5952" s="5" t="s">
        <v>12</v>
      </c>
      <c r="E5952" s="5" t="s">
        <v>3962</v>
      </c>
    </row>
    <row r="5953" spans="1:5" x14ac:dyDescent="0.25">
      <c r="A5953" s="5">
        <f>5945</f>
      </c>
      <c r="B5953" s="5" t="s">
        <v>5195</v>
      </c>
      <c r="C5953" s="5" t="s">
        <v>11</v>
      </c>
      <c r="D5953" s="5" t="s">
        <v>12</v>
      </c>
      <c r="E5953" s="5" t="s">
        <v>3962</v>
      </c>
    </row>
    <row r="5954" spans="1:5" x14ac:dyDescent="0.25">
      <c r="A5954" s="5">
        <f>5946</f>
      </c>
      <c r="B5954" s="5" t="s">
        <v>5196</v>
      </c>
      <c r="C5954" s="5" t="s">
        <v>11</v>
      </c>
      <c r="D5954" s="5" t="s">
        <v>12</v>
      </c>
      <c r="E5954" s="5" t="s">
        <v>3962</v>
      </c>
    </row>
    <row r="5955" spans="1:5" x14ac:dyDescent="0.25">
      <c r="A5955" s="5">
        <f>5947</f>
      </c>
      <c r="B5955" s="5" t="s">
        <v>5197</v>
      </c>
      <c r="C5955" s="5" t="s">
        <v>11</v>
      </c>
      <c r="D5955" s="5" t="s">
        <v>12</v>
      </c>
      <c r="E5955" s="5" t="s">
        <v>3962</v>
      </c>
    </row>
    <row r="5956" spans="1:5" x14ac:dyDescent="0.25">
      <c r="A5956" s="5">
        <f>5948</f>
      </c>
      <c r="B5956" s="5" t="s">
        <v>5198</v>
      </c>
      <c r="C5956" s="5" t="s">
        <v>11</v>
      </c>
      <c r="D5956" s="5" t="s">
        <v>12</v>
      </c>
      <c r="E5956" s="5" t="s">
        <v>3962</v>
      </c>
    </row>
    <row r="5957" spans="1:5" x14ac:dyDescent="0.25">
      <c r="A5957" s="5">
        <f>5949</f>
      </c>
      <c r="B5957" s="5" t="s">
        <v>5199</v>
      </c>
      <c r="C5957" s="5" t="s">
        <v>11</v>
      </c>
      <c r="D5957" s="5" t="s">
        <v>12</v>
      </c>
      <c r="E5957" s="5" t="s">
        <v>3962</v>
      </c>
    </row>
    <row r="5958" spans="1:5" x14ac:dyDescent="0.25">
      <c r="A5958" s="5">
        <f>5950</f>
      </c>
      <c r="B5958" s="5" t="s">
        <v>5200</v>
      </c>
      <c r="C5958" s="5" t="s">
        <v>11</v>
      </c>
      <c r="D5958" s="5" t="s">
        <v>12</v>
      </c>
      <c r="E5958" s="5" t="s">
        <v>3962</v>
      </c>
    </row>
    <row r="5959" spans="1:5" x14ac:dyDescent="0.25">
      <c r="A5959" s="5">
        <f>5951</f>
      </c>
      <c r="B5959" s="5" t="s">
        <v>5201</v>
      </c>
      <c r="C5959" s="5" t="s">
        <v>11</v>
      </c>
      <c r="D5959" s="5" t="s">
        <v>12</v>
      </c>
      <c r="E5959" s="5" t="s">
        <v>3962</v>
      </c>
    </row>
    <row r="5960" spans="1:5" x14ac:dyDescent="0.25">
      <c r="A5960" s="5">
        <f>5952</f>
      </c>
      <c r="B5960" s="5" t="s">
        <v>5202</v>
      </c>
      <c r="C5960" s="5" t="s">
        <v>11</v>
      </c>
      <c r="D5960" s="5" t="s">
        <v>12</v>
      </c>
      <c r="E5960" s="5" t="s">
        <v>3962</v>
      </c>
    </row>
    <row r="5961" spans="1:5" x14ac:dyDescent="0.25">
      <c r="A5961" s="5">
        <f>5953</f>
      </c>
      <c r="B5961" s="5" t="s">
        <v>5203</v>
      </c>
      <c r="C5961" s="5" t="s">
        <v>11</v>
      </c>
      <c r="D5961" s="5" t="s">
        <v>12</v>
      </c>
      <c r="E5961" s="5" t="s">
        <v>3962</v>
      </c>
    </row>
    <row r="5962" spans="1:5" x14ac:dyDescent="0.25">
      <c r="A5962" s="5">
        <f>5954</f>
      </c>
      <c r="B5962" s="5" t="s">
        <v>5204</v>
      </c>
      <c r="C5962" s="5" t="s">
        <v>11</v>
      </c>
      <c r="D5962" s="5" t="s">
        <v>12</v>
      </c>
      <c r="E5962" s="5" t="s">
        <v>3962</v>
      </c>
    </row>
    <row r="5963" spans="1:5" x14ac:dyDescent="0.25">
      <c r="A5963" s="5">
        <f>5955</f>
      </c>
      <c r="B5963" s="5" t="s">
        <v>5205</v>
      </c>
      <c r="C5963" s="5" t="s">
        <v>11</v>
      </c>
      <c r="D5963" s="5" t="s">
        <v>12</v>
      </c>
      <c r="E5963" s="5" t="s">
        <v>3962</v>
      </c>
    </row>
    <row r="5964" spans="1:5" x14ac:dyDescent="0.25">
      <c r="A5964" s="5">
        <f>5956</f>
      </c>
      <c r="B5964" s="5" t="s">
        <v>5206</v>
      </c>
      <c r="C5964" s="5" t="s">
        <v>11</v>
      </c>
      <c r="D5964" s="5" t="s">
        <v>12</v>
      </c>
      <c r="E5964" s="5" t="s">
        <v>3962</v>
      </c>
    </row>
    <row r="5965" spans="1:5" x14ac:dyDescent="0.25">
      <c r="A5965" s="5">
        <f>5957</f>
      </c>
      <c r="B5965" s="5" t="s">
        <v>5207</v>
      </c>
      <c r="C5965" s="5" t="s">
        <v>11</v>
      </c>
      <c r="D5965" s="5" t="s">
        <v>12</v>
      </c>
      <c r="E5965" s="5" t="s">
        <v>3962</v>
      </c>
    </row>
    <row r="5966" spans="1:5" x14ac:dyDescent="0.25">
      <c r="A5966" s="5">
        <f>5958</f>
      </c>
      <c r="B5966" s="5" t="s">
        <v>5208</v>
      </c>
      <c r="C5966" s="5" t="s">
        <v>11</v>
      </c>
      <c r="D5966" s="5" t="s">
        <v>12</v>
      </c>
      <c r="E5966" s="5" t="s">
        <v>3962</v>
      </c>
    </row>
    <row r="5967" spans="1:5" x14ac:dyDescent="0.25">
      <c r="A5967" s="5">
        <f>5959</f>
      </c>
      <c r="B5967" s="5" t="s">
        <v>5209</v>
      </c>
      <c r="C5967" s="5" t="s">
        <v>11</v>
      </c>
      <c r="D5967" s="5" t="s">
        <v>12</v>
      </c>
      <c r="E5967" s="5" t="s">
        <v>3962</v>
      </c>
    </row>
    <row r="5968" spans="1:5" x14ac:dyDescent="0.25">
      <c r="A5968" s="5">
        <f>5960</f>
      </c>
      <c r="B5968" s="5" t="s">
        <v>5210</v>
      </c>
      <c r="C5968" s="5" t="s">
        <v>11</v>
      </c>
      <c r="D5968" s="5" t="s">
        <v>12</v>
      </c>
      <c r="E5968" s="5" t="s">
        <v>3962</v>
      </c>
    </row>
    <row r="5969" spans="1:5" x14ac:dyDescent="0.25">
      <c r="A5969" s="5">
        <f>5961</f>
      </c>
      <c r="B5969" s="5" t="s">
        <v>5211</v>
      </c>
      <c r="C5969" s="5" t="s">
        <v>11</v>
      </c>
      <c r="D5969" s="5" t="s">
        <v>12</v>
      </c>
      <c r="E5969" s="5" t="s">
        <v>3962</v>
      </c>
    </row>
    <row r="5970" spans="1:5" x14ac:dyDescent="0.25">
      <c r="A5970" s="5">
        <f>5962</f>
      </c>
      <c r="B5970" s="5" t="s">
        <v>5212</v>
      </c>
      <c r="C5970" s="5" t="s">
        <v>11</v>
      </c>
      <c r="D5970" s="5" t="s">
        <v>12</v>
      </c>
      <c r="E5970" s="5" t="s">
        <v>3962</v>
      </c>
    </row>
    <row r="5971" spans="1:5" x14ac:dyDescent="0.25">
      <c r="A5971" s="5">
        <f>5963</f>
      </c>
      <c r="B5971" s="5" t="s">
        <v>5213</v>
      </c>
      <c r="C5971" s="5" t="s">
        <v>11</v>
      </c>
      <c r="D5971" s="5" t="s">
        <v>12</v>
      </c>
      <c r="E5971" s="5" t="s">
        <v>3962</v>
      </c>
    </row>
    <row r="5972" spans="1:5" x14ac:dyDescent="0.25">
      <c r="A5972" s="5">
        <f>5964</f>
      </c>
      <c r="B5972" s="5" t="s">
        <v>5214</v>
      </c>
      <c r="C5972" s="5" t="s">
        <v>11</v>
      </c>
      <c r="D5972" s="5" t="s">
        <v>12</v>
      </c>
      <c r="E5972" s="5" t="s">
        <v>3962</v>
      </c>
    </row>
    <row r="5973" spans="1:5" x14ac:dyDescent="0.25">
      <c r="A5973" s="5">
        <f>5965</f>
      </c>
      <c r="B5973" s="5" t="s">
        <v>5215</v>
      </c>
      <c r="C5973" s="5" t="s">
        <v>11</v>
      </c>
      <c r="D5973" s="5" t="s">
        <v>12</v>
      </c>
      <c r="E5973" s="5" t="s">
        <v>3962</v>
      </c>
    </row>
    <row r="5974" spans="1:5" x14ac:dyDescent="0.25">
      <c r="A5974" s="5">
        <f>5966</f>
      </c>
      <c r="B5974" s="5" t="s">
        <v>5216</v>
      </c>
      <c r="C5974" s="5" t="s">
        <v>11</v>
      </c>
      <c r="D5974" s="5" t="s">
        <v>12</v>
      </c>
      <c r="E5974" s="5" t="s">
        <v>3962</v>
      </c>
    </row>
    <row r="5975" spans="1:5" x14ac:dyDescent="0.25">
      <c r="A5975" s="5">
        <f>5967</f>
      </c>
      <c r="B5975" s="5" t="s">
        <v>5217</v>
      </c>
      <c r="C5975" s="5" t="s">
        <v>11</v>
      </c>
      <c r="D5975" s="5" t="s">
        <v>12</v>
      </c>
      <c r="E5975" s="5" t="s">
        <v>3962</v>
      </c>
    </row>
    <row r="5976" spans="1:5" x14ac:dyDescent="0.25">
      <c r="A5976" s="5">
        <f>5968</f>
      </c>
      <c r="B5976" s="5" t="s">
        <v>5218</v>
      </c>
      <c r="C5976" s="5" t="s">
        <v>11</v>
      </c>
      <c r="D5976" s="5" t="s">
        <v>12</v>
      </c>
      <c r="E5976" s="5" t="s">
        <v>3962</v>
      </c>
    </row>
    <row r="5977" spans="1:5" x14ac:dyDescent="0.25">
      <c r="A5977" s="5">
        <f>5969</f>
      </c>
      <c r="B5977" s="5" t="s">
        <v>5219</v>
      </c>
      <c r="C5977" s="5" t="s">
        <v>11</v>
      </c>
      <c r="D5977" s="5" t="s">
        <v>12</v>
      </c>
      <c r="E5977" s="5" t="s">
        <v>3962</v>
      </c>
    </row>
    <row r="5978" spans="1:5" x14ac:dyDescent="0.25">
      <c r="A5978" s="5">
        <f>5970</f>
      </c>
      <c r="B5978" s="5" t="s">
        <v>5220</v>
      </c>
      <c r="C5978" s="5" t="s">
        <v>11</v>
      </c>
      <c r="D5978" s="5" t="s">
        <v>12</v>
      </c>
      <c r="E5978" s="5" t="s">
        <v>3962</v>
      </c>
    </row>
    <row r="5979" spans="1:5" x14ac:dyDescent="0.25">
      <c r="A5979" s="5">
        <f>5971</f>
      </c>
      <c r="B5979" s="5" t="s">
        <v>5221</v>
      </c>
      <c r="C5979" s="5" t="s">
        <v>11</v>
      </c>
      <c r="D5979" s="5" t="s">
        <v>12</v>
      </c>
      <c r="E5979" s="5" t="s">
        <v>3962</v>
      </c>
    </row>
    <row r="5980" spans="1:5" x14ac:dyDescent="0.25">
      <c r="A5980" s="5">
        <f>5972</f>
      </c>
      <c r="B5980" s="5" t="s">
        <v>5222</v>
      </c>
      <c r="C5980" s="5" t="s">
        <v>11</v>
      </c>
      <c r="D5980" s="5" t="s">
        <v>12</v>
      </c>
      <c r="E5980" s="5" t="s">
        <v>3962</v>
      </c>
    </row>
    <row r="5981" spans="1:5" x14ac:dyDescent="0.25">
      <c r="A5981" s="5">
        <f>5973</f>
      </c>
      <c r="B5981" s="5" t="s">
        <v>5223</v>
      </c>
      <c r="C5981" s="5" t="s">
        <v>11</v>
      </c>
      <c r="D5981" s="5" t="s">
        <v>12</v>
      </c>
      <c r="E5981" s="5" t="s">
        <v>3962</v>
      </c>
    </row>
    <row r="5982" spans="1:5" x14ac:dyDescent="0.25">
      <c r="A5982" s="5">
        <f>5974</f>
      </c>
      <c r="B5982" s="5" t="s">
        <v>5224</v>
      </c>
      <c r="C5982" s="5" t="s">
        <v>11</v>
      </c>
      <c r="D5982" s="5" t="s">
        <v>12</v>
      </c>
      <c r="E5982" s="5" t="s">
        <v>3962</v>
      </c>
    </row>
    <row r="5983" spans="1:5" x14ac:dyDescent="0.25">
      <c r="A5983" s="5">
        <f>5975</f>
      </c>
      <c r="B5983" s="5" t="s">
        <v>5225</v>
      </c>
      <c r="C5983" s="5" t="s">
        <v>11</v>
      </c>
      <c r="D5983" s="5" t="s">
        <v>12</v>
      </c>
      <c r="E5983" s="5" t="s">
        <v>3962</v>
      </c>
    </row>
    <row r="5984" spans="1:5" x14ac:dyDescent="0.25">
      <c r="A5984" s="5">
        <f>5976</f>
      </c>
      <c r="B5984" s="5" t="s">
        <v>5226</v>
      </c>
      <c r="C5984" s="5" t="s">
        <v>11</v>
      </c>
      <c r="D5984" s="5" t="s">
        <v>12</v>
      </c>
      <c r="E5984" s="5" t="s">
        <v>3962</v>
      </c>
    </row>
    <row r="5985" spans="1:5" x14ac:dyDescent="0.25">
      <c r="A5985" s="5">
        <f>5977</f>
      </c>
      <c r="B5985" s="5" t="s">
        <v>5227</v>
      </c>
      <c r="C5985" s="5" t="s">
        <v>11</v>
      </c>
      <c r="D5985" s="5" t="s">
        <v>12</v>
      </c>
      <c r="E5985" s="5" t="s">
        <v>3962</v>
      </c>
    </row>
    <row r="5986" spans="1:5" x14ac:dyDescent="0.25">
      <c r="A5986" s="5">
        <f>5978</f>
      </c>
      <c r="B5986" s="5" t="s">
        <v>5228</v>
      </c>
      <c r="C5986" s="5" t="s">
        <v>11</v>
      </c>
      <c r="D5986" s="5" t="s">
        <v>12</v>
      </c>
      <c r="E5986" s="5" t="s">
        <v>3962</v>
      </c>
    </row>
    <row r="5987" spans="1:5" x14ac:dyDescent="0.25">
      <c r="A5987" s="5">
        <f>5979</f>
      </c>
      <c r="B5987" s="5" t="s">
        <v>5229</v>
      </c>
      <c r="C5987" s="5" t="s">
        <v>11</v>
      </c>
      <c r="D5987" s="5" t="s">
        <v>12</v>
      </c>
      <c r="E5987" s="5" t="s">
        <v>3962</v>
      </c>
    </row>
    <row r="5988" spans="1:5" x14ac:dyDescent="0.25">
      <c r="A5988" s="5">
        <f>5980</f>
      </c>
      <c r="B5988" s="5" t="s">
        <v>5230</v>
      </c>
      <c r="C5988" s="5" t="s">
        <v>11</v>
      </c>
      <c r="D5988" s="5" t="s">
        <v>12</v>
      </c>
      <c r="E5988" s="5" t="s">
        <v>3962</v>
      </c>
    </row>
    <row r="5989" spans="1:5" x14ac:dyDescent="0.25">
      <c r="A5989" s="5">
        <f>5981</f>
      </c>
      <c r="B5989" s="5" t="s">
        <v>5231</v>
      </c>
      <c r="C5989" s="5" t="s">
        <v>11</v>
      </c>
      <c r="D5989" s="5" t="s">
        <v>12</v>
      </c>
      <c r="E5989" s="5" t="s">
        <v>3962</v>
      </c>
    </row>
    <row r="5990" spans="1:5" x14ac:dyDescent="0.25">
      <c r="A5990" s="5">
        <f>5982</f>
      </c>
      <c r="B5990" s="5" t="s">
        <v>5232</v>
      </c>
      <c r="C5990" s="5" t="s">
        <v>11</v>
      </c>
      <c r="D5990" s="5" t="s">
        <v>12</v>
      </c>
      <c r="E5990" s="5" t="s">
        <v>3962</v>
      </c>
    </row>
    <row r="5991" spans="1:5" x14ac:dyDescent="0.25">
      <c r="A5991" s="5">
        <f>5983</f>
      </c>
      <c r="B5991" s="5" t="s">
        <v>5233</v>
      </c>
      <c r="C5991" s="5" t="s">
        <v>11</v>
      </c>
      <c r="D5991" s="5" t="s">
        <v>12</v>
      </c>
      <c r="E5991" s="5" t="s">
        <v>3962</v>
      </c>
    </row>
    <row r="5992" spans="1:5" x14ac:dyDescent="0.25">
      <c r="A5992" s="5">
        <f>5984</f>
      </c>
      <c r="B5992" s="5" t="s">
        <v>5234</v>
      </c>
      <c r="C5992" s="5" t="s">
        <v>11</v>
      </c>
      <c r="D5992" s="5" t="s">
        <v>12</v>
      </c>
      <c r="E5992" s="5" t="s">
        <v>3962</v>
      </c>
    </row>
    <row r="5993" spans="1:5" x14ac:dyDescent="0.25">
      <c r="A5993" s="5">
        <f>5985</f>
      </c>
      <c r="B5993" s="5" t="s">
        <v>5235</v>
      </c>
      <c r="C5993" s="5" t="s">
        <v>11</v>
      </c>
      <c r="D5993" s="5" t="s">
        <v>12</v>
      </c>
      <c r="E5993" s="5" t="s">
        <v>3962</v>
      </c>
    </row>
    <row r="5994" spans="1:5" x14ac:dyDescent="0.25">
      <c r="A5994" s="5">
        <f>5986</f>
      </c>
      <c r="B5994" s="5" t="s">
        <v>5236</v>
      </c>
      <c r="C5994" s="5" t="s">
        <v>11</v>
      </c>
      <c r="D5994" s="5" t="s">
        <v>12</v>
      </c>
      <c r="E5994" s="5" t="s">
        <v>3962</v>
      </c>
    </row>
    <row r="5995" spans="1:5" x14ac:dyDescent="0.25">
      <c r="A5995" s="5">
        <f>5987</f>
      </c>
      <c r="B5995" s="5" t="s">
        <v>5237</v>
      </c>
      <c r="C5995" s="5" t="s">
        <v>11</v>
      </c>
      <c r="D5995" s="5" t="s">
        <v>12</v>
      </c>
      <c r="E5995" s="5" t="s">
        <v>3962</v>
      </c>
    </row>
    <row r="5996" spans="1:5" x14ac:dyDescent="0.25">
      <c r="A5996" s="5">
        <f>5988</f>
      </c>
      <c r="B5996" s="5" t="s">
        <v>5238</v>
      </c>
      <c r="C5996" s="5" t="s">
        <v>11</v>
      </c>
      <c r="D5996" s="5" t="s">
        <v>12</v>
      </c>
      <c r="E5996" s="5" t="s">
        <v>3962</v>
      </c>
    </row>
    <row r="5997" spans="1:5" x14ac:dyDescent="0.25">
      <c r="A5997" s="5">
        <f>5989</f>
      </c>
      <c r="B5997" s="5" t="s">
        <v>5239</v>
      </c>
      <c r="C5997" s="5" t="s">
        <v>11</v>
      </c>
      <c r="D5997" s="5" t="s">
        <v>12</v>
      </c>
      <c r="E5997" s="5" t="s">
        <v>3962</v>
      </c>
    </row>
    <row r="5998" spans="1:5" x14ac:dyDescent="0.25">
      <c r="A5998" s="5">
        <f>5990</f>
      </c>
      <c r="B5998" s="5" t="s">
        <v>5240</v>
      </c>
      <c r="C5998" s="5" t="s">
        <v>11</v>
      </c>
      <c r="D5998" s="5" t="s">
        <v>12</v>
      </c>
      <c r="E5998" s="5" t="s">
        <v>3962</v>
      </c>
    </row>
    <row r="5999" spans="1:5" x14ac:dyDescent="0.25">
      <c r="A5999" s="5">
        <f>5991</f>
      </c>
      <c r="B5999" s="5" t="s">
        <v>5241</v>
      </c>
      <c r="C5999" s="5" t="s">
        <v>11</v>
      </c>
      <c r="D5999" s="5" t="s">
        <v>12</v>
      </c>
      <c r="E5999" s="5" t="s">
        <v>3962</v>
      </c>
    </row>
    <row r="6000" spans="1:5" x14ac:dyDescent="0.25">
      <c r="A6000" s="5">
        <f>5992</f>
      </c>
      <c r="B6000" s="5" t="s">
        <v>5242</v>
      </c>
      <c r="C6000" s="5" t="s">
        <v>11</v>
      </c>
      <c r="D6000" s="5" t="s">
        <v>12</v>
      </c>
      <c r="E6000" s="5" t="s">
        <v>3962</v>
      </c>
    </row>
    <row r="6001" spans="1:5" x14ac:dyDescent="0.25">
      <c r="A6001" s="5">
        <f>5993</f>
      </c>
      <c r="B6001" s="5" t="s">
        <v>5243</v>
      </c>
      <c r="C6001" s="5" t="s">
        <v>11</v>
      </c>
      <c r="D6001" s="5" t="s">
        <v>12</v>
      </c>
      <c r="E6001" s="5" t="s">
        <v>3962</v>
      </c>
    </row>
    <row r="6002" spans="1:5" x14ac:dyDescent="0.25">
      <c r="A6002" s="5">
        <f>5994</f>
      </c>
      <c r="B6002" s="5" t="s">
        <v>5244</v>
      </c>
      <c r="C6002" s="5" t="s">
        <v>11</v>
      </c>
      <c r="D6002" s="5" t="s">
        <v>12</v>
      </c>
      <c r="E6002" s="5" t="s">
        <v>3962</v>
      </c>
    </row>
    <row r="6003" spans="1:5" x14ac:dyDescent="0.25">
      <c r="A6003" s="5">
        <f>5995</f>
      </c>
      <c r="B6003" s="5" t="s">
        <v>5245</v>
      </c>
      <c r="C6003" s="5" t="s">
        <v>11</v>
      </c>
      <c r="D6003" s="5" t="s">
        <v>12</v>
      </c>
      <c r="E6003" s="5" t="s">
        <v>3962</v>
      </c>
    </row>
    <row r="6004" spans="1:5" x14ac:dyDescent="0.25">
      <c r="A6004" s="5">
        <f>5996</f>
      </c>
      <c r="B6004" s="5" t="s">
        <v>5246</v>
      </c>
      <c r="C6004" s="5" t="s">
        <v>11</v>
      </c>
      <c r="D6004" s="5" t="s">
        <v>12</v>
      </c>
      <c r="E6004" s="5" t="s">
        <v>3962</v>
      </c>
    </row>
    <row r="6005" spans="1:5" x14ac:dyDescent="0.25">
      <c r="A6005" s="5">
        <f>5997</f>
      </c>
      <c r="B6005" s="5" t="s">
        <v>5247</v>
      </c>
      <c r="C6005" s="5" t="s">
        <v>11</v>
      </c>
      <c r="D6005" s="5" t="s">
        <v>12</v>
      </c>
      <c r="E6005" s="5" t="s">
        <v>3962</v>
      </c>
    </row>
    <row r="6006" spans="1:5" x14ac:dyDescent="0.25">
      <c r="A6006" s="5">
        <f>5998</f>
      </c>
      <c r="B6006" s="5" t="s">
        <v>5248</v>
      </c>
      <c r="C6006" s="5" t="s">
        <v>11</v>
      </c>
      <c r="D6006" s="5" t="s">
        <v>12</v>
      </c>
      <c r="E6006" s="5" t="s">
        <v>3962</v>
      </c>
    </row>
    <row r="6007" spans="1:5" x14ac:dyDescent="0.25">
      <c r="A6007" s="5">
        <f>5999</f>
      </c>
      <c r="B6007" s="5" t="s">
        <v>5249</v>
      </c>
      <c r="C6007" s="5" t="s">
        <v>11</v>
      </c>
      <c r="D6007" s="5" t="s">
        <v>12</v>
      </c>
      <c r="E6007" s="5" t="s">
        <v>3962</v>
      </c>
    </row>
    <row r="6008" spans="1:5" x14ac:dyDescent="0.25">
      <c r="A6008" s="5">
        <f>6000</f>
      </c>
      <c r="B6008" s="5" t="s">
        <v>5250</v>
      </c>
      <c r="C6008" s="5" t="s">
        <v>11</v>
      </c>
      <c r="D6008" s="5" t="s">
        <v>12</v>
      </c>
      <c r="E6008" s="5" t="s">
        <v>3962</v>
      </c>
    </row>
    <row r="6009" spans="1:5" x14ac:dyDescent="0.25">
      <c r="A6009" s="5">
        <f>6001</f>
      </c>
      <c r="B6009" s="5" t="s">
        <v>5251</v>
      </c>
      <c r="C6009" s="5" t="s">
        <v>11</v>
      </c>
      <c r="D6009" s="5" t="s">
        <v>12</v>
      </c>
      <c r="E6009" s="5" t="s">
        <v>3962</v>
      </c>
    </row>
    <row r="6010" spans="1:5" x14ac:dyDescent="0.25">
      <c r="A6010" s="5">
        <f>6002</f>
      </c>
      <c r="B6010" s="5" t="s">
        <v>5252</v>
      </c>
      <c r="C6010" s="5" t="s">
        <v>11</v>
      </c>
      <c r="D6010" s="5" t="s">
        <v>12</v>
      </c>
      <c r="E6010" s="5" t="s">
        <v>3962</v>
      </c>
    </row>
    <row r="6011" spans="1:5" x14ac:dyDescent="0.25">
      <c r="A6011" s="5">
        <f>6003</f>
      </c>
      <c r="B6011" s="5" t="s">
        <v>5253</v>
      </c>
      <c r="C6011" s="5" t="s">
        <v>11</v>
      </c>
      <c r="D6011" s="5" t="s">
        <v>12</v>
      </c>
      <c r="E6011" s="5" t="s">
        <v>3962</v>
      </c>
    </row>
    <row r="6012" spans="1:5" x14ac:dyDescent="0.25">
      <c r="A6012" s="5">
        <f>6004</f>
      </c>
      <c r="B6012" s="5" t="s">
        <v>5254</v>
      </c>
      <c r="C6012" s="5" t="s">
        <v>11</v>
      </c>
      <c r="D6012" s="5" t="s">
        <v>12</v>
      </c>
      <c r="E6012" s="5" t="s">
        <v>3962</v>
      </c>
    </row>
    <row r="6013" spans="1:5" x14ac:dyDescent="0.25">
      <c r="A6013" s="5">
        <f>6005</f>
      </c>
      <c r="B6013" s="5" t="s">
        <v>5255</v>
      </c>
      <c r="C6013" s="5" t="s">
        <v>11</v>
      </c>
      <c r="D6013" s="5" t="s">
        <v>12</v>
      </c>
      <c r="E6013" s="5" t="s">
        <v>3962</v>
      </c>
    </row>
    <row r="6014" spans="1:5" x14ac:dyDescent="0.25">
      <c r="A6014" s="5">
        <f>6006</f>
      </c>
      <c r="B6014" s="5" t="s">
        <v>5256</v>
      </c>
      <c r="C6014" s="5" t="s">
        <v>11</v>
      </c>
      <c r="D6014" s="5" t="s">
        <v>12</v>
      </c>
      <c r="E6014" s="5" t="s">
        <v>3962</v>
      </c>
    </row>
    <row r="6015" spans="1:5" x14ac:dyDescent="0.25">
      <c r="A6015" s="5">
        <f>6007</f>
      </c>
      <c r="B6015" s="5" t="s">
        <v>5257</v>
      </c>
      <c r="C6015" s="5" t="s">
        <v>11</v>
      </c>
      <c r="D6015" s="5" t="s">
        <v>12</v>
      </c>
      <c r="E6015" s="5" t="s">
        <v>3962</v>
      </c>
    </row>
    <row r="6016" spans="1:5" x14ac:dyDescent="0.25">
      <c r="A6016" s="5">
        <f>6008</f>
      </c>
      <c r="B6016" s="5" t="s">
        <v>5258</v>
      </c>
      <c r="C6016" s="5" t="s">
        <v>11</v>
      </c>
      <c r="D6016" s="5" t="s">
        <v>12</v>
      </c>
      <c r="E6016" s="5" t="s">
        <v>3962</v>
      </c>
    </row>
    <row r="6017" spans="1:5" x14ac:dyDescent="0.25">
      <c r="A6017" s="5">
        <f>6009</f>
      </c>
      <c r="B6017" s="5" t="s">
        <v>5259</v>
      </c>
      <c r="C6017" s="5" t="s">
        <v>11</v>
      </c>
      <c r="D6017" s="5" t="s">
        <v>12</v>
      </c>
      <c r="E6017" s="5" t="s">
        <v>3962</v>
      </c>
    </row>
    <row r="6018" spans="1:5" x14ac:dyDescent="0.25">
      <c r="A6018" s="5">
        <f>6010</f>
      </c>
      <c r="B6018" s="5" t="s">
        <v>5260</v>
      </c>
      <c r="C6018" s="5" t="s">
        <v>11</v>
      </c>
      <c r="D6018" s="5" t="s">
        <v>12</v>
      </c>
      <c r="E6018" s="5" t="s">
        <v>3962</v>
      </c>
    </row>
    <row r="6019" spans="1:5" x14ac:dyDescent="0.25">
      <c r="A6019" s="5">
        <f>6011</f>
      </c>
      <c r="B6019" s="5" t="s">
        <v>5261</v>
      </c>
      <c r="C6019" s="5" t="s">
        <v>11</v>
      </c>
      <c r="D6019" s="5" t="s">
        <v>12</v>
      </c>
      <c r="E6019" s="5" t="s">
        <v>3962</v>
      </c>
    </row>
    <row r="6020" spans="1:5" x14ac:dyDescent="0.25">
      <c r="A6020" s="5">
        <f>6012</f>
      </c>
      <c r="B6020" s="5" t="s">
        <v>5262</v>
      </c>
      <c r="C6020" s="5" t="s">
        <v>11</v>
      </c>
      <c r="D6020" s="5" t="s">
        <v>12</v>
      </c>
      <c r="E6020" s="5" t="s">
        <v>3962</v>
      </c>
    </row>
    <row r="6021" spans="1:5" x14ac:dyDescent="0.25">
      <c r="A6021" s="5">
        <f>6013</f>
      </c>
      <c r="B6021" s="5" t="s">
        <v>5263</v>
      </c>
      <c r="C6021" s="5" t="s">
        <v>11</v>
      </c>
      <c r="D6021" s="5" t="s">
        <v>12</v>
      </c>
      <c r="E6021" s="5" t="s">
        <v>3962</v>
      </c>
    </row>
    <row r="6022" spans="1:5" x14ac:dyDescent="0.25">
      <c r="A6022" s="5">
        <f>6014</f>
      </c>
      <c r="B6022" s="5" t="s">
        <v>5264</v>
      </c>
      <c r="C6022" s="5" t="s">
        <v>11</v>
      </c>
      <c r="D6022" s="5" t="s">
        <v>12</v>
      </c>
      <c r="E6022" s="5" t="s">
        <v>3962</v>
      </c>
    </row>
    <row r="6023" spans="1:5" x14ac:dyDescent="0.25">
      <c r="A6023" s="5">
        <f>6015</f>
      </c>
      <c r="B6023" s="5" t="s">
        <v>5265</v>
      </c>
      <c r="C6023" s="5" t="s">
        <v>11</v>
      </c>
      <c r="D6023" s="5" t="s">
        <v>12</v>
      </c>
      <c r="E6023" s="5" t="s">
        <v>3962</v>
      </c>
    </row>
    <row r="6024" spans="1:5" x14ac:dyDescent="0.25">
      <c r="A6024" s="5">
        <f>6016</f>
      </c>
      <c r="B6024" s="5" t="s">
        <v>5266</v>
      </c>
      <c r="C6024" s="5" t="s">
        <v>11</v>
      </c>
      <c r="D6024" s="5" t="s">
        <v>12</v>
      </c>
      <c r="E6024" s="5" t="s">
        <v>3962</v>
      </c>
    </row>
    <row r="6025" spans="1:5" x14ac:dyDescent="0.25">
      <c r="A6025" s="5">
        <f>6017</f>
      </c>
      <c r="B6025" s="5" t="s">
        <v>5267</v>
      </c>
      <c r="C6025" s="5" t="s">
        <v>11</v>
      </c>
      <c r="D6025" s="5" t="s">
        <v>12</v>
      </c>
      <c r="E6025" s="5" t="s">
        <v>3962</v>
      </c>
    </row>
    <row r="6026" spans="1:5" x14ac:dyDescent="0.25">
      <c r="A6026" s="5">
        <f>6018</f>
      </c>
      <c r="B6026" s="5" t="s">
        <v>5268</v>
      </c>
      <c r="C6026" s="5" t="s">
        <v>11</v>
      </c>
      <c r="D6026" s="5" t="s">
        <v>12</v>
      </c>
      <c r="E6026" s="5" t="s">
        <v>3962</v>
      </c>
    </row>
    <row r="6027" spans="1:5" x14ac:dyDescent="0.25">
      <c r="A6027" s="5">
        <f>6019</f>
      </c>
      <c r="B6027" s="5" t="s">
        <v>5269</v>
      </c>
      <c r="C6027" s="5" t="s">
        <v>11</v>
      </c>
      <c r="D6027" s="5" t="s">
        <v>12</v>
      </c>
      <c r="E6027" s="5" t="s">
        <v>3962</v>
      </c>
    </row>
    <row r="6028" spans="1:5" x14ac:dyDescent="0.25">
      <c r="A6028" s="5">
        <f>6020</f>
      </c>
      <c r="B6028" s="5" t="s">
        <v>5270</v>
      </c>
      <c r="C6028" s="5" t="s">
        <v>11</v>
      </c>
      <c r="D6028" s="5" t="s">
        <v>12</v>
      </c>
      <c r="E6028" s="5" t="s">
        <v>3962</v>
      </c>
    </row>
    <row r="6029" spans="1:5" x14ac:dyDescent="0.25">
      <c r="A6029" s="5">
        <f>6021</f>
      </c>
      <c r="B6029" s="5" t="s">
        <v>5271</v>
      </c>
      <c r="C6029" s="5" t="s">
        <v>11</v>
      </c>
      <c r="D6029" s="5" t="s">
        <v>12</v>
      </c>
      <c r="E6029" s="5" t="s">
        <v>3962</v>
      </c>
    </row>
    <row r="6030" spans="1:5" x14ac:dyDescent="0.25">
      <c r="A6030" s="5">
        <f>6022</f>
      </c>
      <c r="B6030" s="5" t="s">
        <v>5272</v>
      </c>
      <c r="C6030" s="5" t="s">
        <v>11</v>
      </c>
      <c r="D6030" s="5" t="s">
        <v>12</v>
      </c>
      <c r="E6030" s="5" t="s">
        <v>3962</v>
      </c>
    </row>
    <row r="6031" spans="1:5" x14ac:dyDescent="0.25">
      <c r="A6031" s="5">
        <f>6023</f>
      </c>
      <c r="B6031" s="5" t="s">
        <v>5273</v>
      </c>
      <c r="C6031" s="5" t="s">
        <v>11</v>
      </c>
      <c r="D6031" s="5" t="s">
        <v>12</v>
      </c>
      <c r="E6031" s="5" t="s">
        <v>3962</v>
      </c>
    </row>
    <row r="6032" spans="1:5" x14ac:dyDescent="0.25">
      <c r="A6032" s="5">
        <f>6024</f>
      </c>
      <c r="B6032" s="5" t="s">
        <v>5274</v>
      </c>
      <c r="C6032" s="5" t="s">
        <v>11</v>
      </c>
      <c r="D6032" s="5" t="s">
        <v>12</v>
      </c>
      <c r="E6032" s="5" t="s">
        <v>3962</v>
      </c>
    </row>
    <row r="6033" spans="1:5" x14ac:dyDescent="0.25">
      <c r="A6033" s="5">
        <f>6025</f>
      </c>
      <c r="B6033" s="5" t="s">
        <v>5275</v>
      </c>
      <c r="C6033" s="5" t="s">
        <v>11</v>
      </c>
      <c r="D6033" s="5" t="s">
        <v>12</v>
      </c>
      <c r="E6033" s="5" t="s">
        <v>3962</v>
      </c>
    </row>
    <row r="6034" spans="1:5" x14ac:dyDescent="0.25">
      <c r="A6034" s="5">
        <f>6026</f>
      </c>
      <c r="B6034" s="5" t="s">
        <v>5276</v>
      </c>
      <c r="C6034" s="5" t="s">
        <v>11</v>
      </c>
      <c r="D6034" s="5" t="s">
        <v>12</v>
      </c>
      <c r="E6034" s="5" t="s">
        <v>3962</v>
      </c>
    </row>
    <row r="6035" spans="1:5" x14ac:dyDescent="0.25">
      <c r="A6035" s="5">
        <f>6027</f>
      </c>
      <c r="B6035" s="5" t="s">
        <v>5277</v>
      </c>
      <c r="C6035" s="5" t="s">
        <v>11</v>
      </c>
      <c r="D6035" s="5" t="s">
        <v>12</v>
      </c>
      <c r="E6035" s="5" t="s">
        <v>3962</v>
      </c>
    </row>
    <row r="6036" spans="1:5" x14ac:dyDescent="0.25">
      <c r="A6036" s="5">
        <f>6028</f>
      </c>
      <c r="B6036" s="5" t="s">
        <v>5278</v>
      </c>
      <c r="C6036" s="5" t="s">
        <v>11</v>
      </c>
      <c r="D6036" s="5" t="s">
        <v>12</v>
      </c>
      <c r="E6036" s="5" t="s">
        <v>3962</v>
      </c>
    </row>
    <row r="6037" spans="1:5" x14ac:dyDescent="0.25">
      <c r="A6037" s="5">
        <f>6029</f>
      </c>
      <c r="B6037" s="5" t="s">
        <v>5279</v>
      </c>
      <c r="C6037" s="5" t="s">
        <v>11</v>
      </c>
      <c r="D6037" s="5" t="s">
        <v>12</v>
      </c>
      <c r="E6037" s="5" t="s">
        <v>3962</v>
      </c>
    </row>
    <row r="6038" spans="1:5" x14ac:dyDescent="0.25">
      <c r="A6038" s="5">
        <f>6030</f>
      </c>
      <c r="B6038" s="5" t="s">
        <v>5280</v>
      </c>
      <c r="C6038" s="5" t="s">
        <v>11</v>
      </c>
      <c r="D6038" s="5" t="s">
        <v>12</v>
      </c>
      <c r="E6038" s="5" t="s">
        <v>3962</v>
      </c>
    </row>
    <row r="6039" spans="1:5" x14ac:dyDescent="0.25">
      <c r="A6039" s="5">
        <f>6031</f>
      </c>
      <c r="B6039" s="5" t="s">
        <v>5281</v>
      </c>
      <c r="C6039" s="5" t="s">
        <v>11</v>
      </c>
      <c r="D6039" s="5" t="s">
        <v>12</v>
      </c>
      <c r="E6039" s="5" t="s">
        <v>3962</v>
      </c>
    </row>
    <row r="6040" spans="1:5" x14ac:dyDescent="0.25">
      <c r="A6040" s="5">
        <f>6032</f>
      </c>
      <c r="B6040" s="5" t="s">
        <v>5282</v>
      </c>
      <c r="C6040" s="5" t="s">
        <v>11</v>
      </c>
      <c r="D6040" s="5" t="s">
        <v>12</v>
      </c>
      <c r="E6040" s="5" t="s">
        <v>3962</v>
      </c>
    </row>
    <row r="6041" spans="1:5" x14ac:dyDescent="0.25">
      <c r="A6041" s="5">
        <f>6033</f>
      </c>
      <c r="B6041" s="5" t="s">
        <v>5283</v>
      </c>
      <c r="C6041" s="5" t="s">
        <v>11</v>
      </c>
      <c r="D6041" s="5" t="s">
        <v>12</v>
      </c>
      <c r="E6041" s="5" t="s">
        <v>3962</v>
      </c>
    </row>
    <row r="6042" spans="1:5" x14ac:dyDescent="0.25">
      <c r="A6042" s="5">
        <f>6034</f>
      </c>
      <c r="B6042" s="5" t="s">
        <v>5284</v>
      </c>
      <c r="C6042" s="5" t="s">
        <v>11</v>
      </c>
      <c r="D6042" s="5" t="s">
        <v>12</v>
      </c>
      <c r="E6042" s="5" t="s">
        <v>3962</v>
      </c>
    </row>
    <row r="6043" spans="1:5" x14ac:dyDescent="0.25">
      <c r="A6043" s="5">
        <f>6035</f>
      </c>
      <c r="B6043" s="5" t="s">
        <v>5285</v>
      </c>
      <c r="C6043" s="5" t="s">
        <v>11</v>
      </c>
      <c r="D6043" s="5" t="s">
        <v>12</v>
      </c>
      <c r="E6043" s="5" t="s">
        <v>3962</v>
      </c>
    </row>
    <row r="6044" spans="1:5" x14ac:dyDescent="0.25">
      <c r="A6044" s="5">
        <f>6036</f>
      </c>
      <c r="B6044" s="5" t="s">
        <v>5286</v>
      </c>
      <c r="C6044" s="5" t="s">
        <v>11</v>
      </c>
      <c r="D6044" s="5" t="s">
        <v>12</v>
      </c>
      <c r="E6044" s="5" t="s">
        <v>3962</v>
      </c>
    </row>
    <row r="6045" spans="1:5" x14ac:dyDescent="0.25">
      <c r="A6045" s="5">
        <f>6037</f>
      </c>
      <c r="B6045" s="5" t="s">
        <v>5287</v>
      </c>
      <c r="C6045" s="5" t="s">
        <v>11</v>
      </c>
      <c r="D6045" s="5" t="s">
        <v>12</v>
      </c>
      <c r="E6045" s="5" t="s">
        <v>3962</v>
      </c>
    </row>
    <row r="6046" spans="1:5" x14ac:dyDescent="0.25">
      <c r="A6046" s="5">
        <f>6038</f>
      </c>
      <c r="B6046" s="5" t="s">
        <v>5288</v>
      </c>
      <c r="C6046" s="5" t="s">
        <v>11</v>
      </c>
      <c r="D6046" s="5" t="s">
        <v>12</v>
      </c>
      <c r="E6046" s="5" t="s">
        <v>3962</v>
      </c>
    </row>
    <row r="6047" spans="1:5" x14ac:dyDescent="0.25">
      <c r="A6047" s="5">
        <f>6039</f>
      </c>
      <c r="B6047" s="5" t="s">
        <v>5289</v>
      </c>
      <c r="C6047" s="5" t="s">
        <v>11</v>
      </c>
      <c r="D6047" s="5" t="s">
        <v>12</v>
      </c>
      <c r="E6047" s="5" t="s">
        <v>3962</v>
      </c>
    </row>
    <row r="6048" spans="1:5" x14ac:dyDescent="0.25">
      <c r="A6048" s="5">
        <f>6040</f>
      </c>
      <c r="B6048" s="5" t="s">
        <v>5290</v>
      </c>
      <c r="C6048" s="5" t="s">
        <v>11</v>
      </c>
      <c r="D6048" s="5" t="s">
        <v>12</v>
      </c>
      <c r="E6048" s="5" t="s">
        <v>3962</v>
      </c>
    </row>
    <row r="6049" spans="1:5" x14ac:dyDescent="0.25">
      <c r="A6049" s="5">
        <f>6041</f>
      </c>
      <c r="B6049" s="5" t="s">
        <v>5291</v>
      </c>
      <c r="C6049" s="5" t="s">
        <v>11</v>
      </c>
      <c r="D6049" s="5" t="s">
        <v>12</v>
      </c>
      <c r="E6049" s="5" t="s">
        <v>3962</v>
      </c>
    </row>
    <row r="6050" spans="1:5" x14ac:dyDescent="0.25">
      <c r="A6050" s="5">
        <f>6042</f>
      </c>
      <c r="B6050" s="5" t="s">
        <v>5292</v>
      </c>
      <c r="C6050" s="5" t="s">
        <v>11</v>
      </c>
      <c r="D6050" s="5" t="s">
        <v>12</v>
      </c>
      <c r="E6050" s="5" t="s">
        <v>3962</v>
      </c>
    </row>
    <row r="6051" spans="1:5" x14ac:dyDescent="0.25">
      <c r="A6051" s="5">
        <f>6043</f>
      </c>
      <c r="B6051" s="5" t="s">
        <v>5293</v>
      </c>
      <c r="C6051" s="5" t="s">
        <v>11</v>
      </c>
      <c r="D6051" s="5" t="s">
        <v>12</v>
      </c>
      <c r="E6051" s="5" t="s">
        <v>3962</v>
      </c>
    </row>
    <row r="6052" spans="1:5" x14ac:dyDescent="0.25">
      <c r="A6052" s="5">
        <f>6044</f>
      </c>
      <c r="B6052" s="5" t="s">
        <v>5294</v>
      </c>
      <c r="C6052" s="5" t="s">
        <v>11</v>
      </c>
      <c r="D6052" s="5" t="s">
        <v>12</v>
      </c>
      <c r="E6052" s="5" t="s">
        <v>3962</v>
      </c>
    </row>
    <row r="6053" spans="1:5" x14ac:dyDescent="0.25">
      <c r="A6053" s="5">
        <f>6045</f>
      </c>
      <c r="B6053" s="5" t="s">
        <v>5295</v>
      </c>
      <c r="C6053" s="5" t="s">
        <v>11</v>
      </c>
      <c r="D6053" s="5" t="s">
        <v>12</v>
      </c>
      <c r="E6053" s="5" t="s">
        <v>3962</v>
      </c>
    </row>
    <row r="6054" spans="1:5" x14ac:dyDescent="0.25">
      <c r="A6054" s="5">
        <f>6046</f>
      </c>
      <c r="B6054" s="5" t="s">
        <v>5296</v>
      </c>
      <c r="C6054" s="5" t="s">
        <v>11</v>
      </c>
      <c r="D6054" s="5" t="s">
        <v>12</v>
      </c>
      <c r="E6054" s="5" t="s">
        <v>3962</v>
      </c>
    </row>
    <row r="6055" spans="1:5" x14ac:dyDescent="0.25">
      <c r="A6055" s="5">
        <f>6047</f>
      </c>
      <c r="B6055" s="5" t="s">
        <v>5297</v>
      </c>
      <c r="C6055" s="5" t="s">
        <v>11</v>
      </c>
      <c r="D6055" s="5" t="s">
        <v>12</v>
      </c>
      <c r="E6055" s="5" t="s">
        <v>3962</v>
      </c>
    </row>
    <row r="6056" spans="1:5" x14ac:dyDescent="0.25">
      <c r="A6056" s="5">
        <f>6048</f>
      </c>
      <c r="B6056" s="5" t="s">
        <v>5298</v>
      </c>
      <c r="C6056" s="5" t="s">
        <v>11</v>
      </c>
      <c r="D6056" s="5" t="s">
        <v>12</v>
      </c>
      <c r="E6056" s="5" t="s">
        <v>3962</v>
      </c>
    </row>
    <row r="6057" spans="1:5" x14ac:dyDescent="0.25">
      <c r="A6057" s="5">
        <f>6049</f>
      </c>
      <c r="B6057" s="5" t="s">
        <v>5299</v>
      </c>
      <c r="C6057" s="5" t="s">
        <v>11</v>
      </c>
      <c r="D6057" s="5" t="s">
        <v>12</v>
      </c>
      <c r="E6057" s="5" t="s">
        <v>3962</v>
      </c>
    </row>
    <row r="6058" spans="1:5" x14ac:dyDescent="0.25">
      <c r="A6058" s="5">
        <f>6050</f>
      </c>
      <c r="B6058" s="5" t="s">
        <v>5300</v>
      </c>
      <c r="C6058" s="5" t="s">
        <v>11</v>
      </c>
      <c r="D6058" s="5" t="s">
        <v>12</v>
      </c>
      <c r="E6058" s="5" t="s">
        <v>3962</v>
      </c>
    </row>
    <row r="6059" spans="1:5" x14ac:dyDescent="0.25">
      <c r="A6059" s="5">
        <f>6051</f>
      </c>
      <c r="B6059" s="5" t="s">
        <v>5301</v>
      </c>
      <c r="C6059" s="5" t="s">
        <v>11</v>
      </c>
      <c r="D6059" s="5" t="s">
        <v>12</v>
      </c>
      <c r="E6059" s="5" t="s">
        <v>3962</v>
      </c>
    </row>
    <row r="6060" spans="1:5" x14ac:dyDescent="0.25">
      <c r="A6060" s="5">
        <f>6052</f>
      </c>
      <c r="B6060" s="5" t="s">
        <v>5302</v>
      </c>
      <c r="C6060" s="5" t="s">
        <v>11</v>
      </c>
      <c r="D6060" s="5" t="s">
        <v>12</v>
      </c>
      <c r="E6060" s="5" t="s">
        <v>3962</v>
      </c>
    </row>
    <row r="6061" spans="1:5" x14ac:dyDescent="0.25">
      <c r="A6061" s="5">
        <f>6053</f>
      </c>
      <c r="B6061" s="5" t="s">
        <v>5303</v>
      </c>
      <c r="C6061" s="5" t="s">
        <v>11</v>
      </c>
      <c r="D6061" s="5" t="s">
        <v>12</v>
      </c>
      <c r="E6061" s="5" t="s">
        <v>3962</v>
      </c>
    </row>
    <row r="6062" spans="1:5" x14ac:dyDescent="0.25">
      <c r="A6062" s="5">
        <f>6054</f>
      </c>
      <c r="B6062" s="5" t="s">
        <v>5304</v>
      </c>
      <c r="C6062" s="5" t="s">
        <v>11</v>
      </c>
      <c r="D6062" s="5" t="s">
        <v>12</v>
      </c>
      <c r="E6062" s="5" t="s">
        <v>3962</v>
      </c>
    </row>
    <row r="6063" spans="1:5" x14ac:dyDescent="0.25">
      <c r="A6063" s="5">
        <f>6055</f>
      </c>
      <c r="B6063" s="5" t="s">
        <v>5305</v>
      </c>
      <c r="C6063" s="5" t="s">
        <v>11</v>
      </c>
      <c r="D6063" s="5" t="s">
        <v>12</v>
      </c>
      <c r="E6063" s="5" t="s">
        <v>3962</v>
      </c>
    </row>
    <row r="6064" spans="1:5" x14ac:dyDescent="0.25">
      <c r="A6064" s="5">
        <f>6056</f>
      </c>
      <c r="B6064" s="5" t="s">
        <v>5306</v>
      </c>
      <c r="C6064" s="5" t="s">
        <v>11</v>
      </c>
      <c r="D6064" s="5" t="s">
        <v>12</v>
      </c>
      <c r="E6064" s="5" t="s">
        <v>3962</v>
      </c>
    </row>
    <row r="6065" spans="1:5" x14ac:dyDescent="0.25">
      <c r="A6065" s="5">
        <f>6057</f>
      </c>
      <c r="B6065" s="5" t="s">
        <v>5307</v>
      </c>
      <c r="C6065" s="5" t="s">
        <v>11</v>
      </c>
      <c r="D6065" s="5" t="s">
        <v>12</v>
      </c>
      <c r="E6065" s="5" t="s">
        <v>3962</v>
      </c>
    </row>
    <row r="6066" spans="1:5" x14ac:dyDescent="0.25">
      <c r="A6066" s="5">
        <f>6058</f>
      </c>
      <c r="B6066" s="5" t="s">
        <v>5308</v>
      </c>
      <c r="C6066" s="5" t="s">
        <v>11</v>
      </c>
      <c r="D6066" s="5" t="s">
        <v>12</v>
      </c>
      <c r="E6066" s="5" t="s">
        <v>3962</v>
      </c>
    </row>
    <row r="6067" spans="1:5" x14ac:dyDescent="0.25">
      <c r="A6067" s="5">
        <f>6059</f>
      </c>
      <c r="B6067" s="5" t="s">
        <v>5309</v>
      </c>
      <c r="C6067" s="5" t="s">
        <v>11</v>
      </c>
      <c r="D6067" s="5" t="s">
        <v>12</v>
      </c>
      <c r="E6067" s="5" t="s">
        <v>3962</v>
      </c>
    </row>
    <row r="6068" spans="1:5" x14ac:dyDescent="0.25">
      <c r="A6068" s="5">
        <f>6060</f>
      </c>
      <c r="B6068" s="5" t="s">
        <v>5310</v>
      </c>
      <c r="C6068" s="5" t="s">
        <v>11</v>
      </c>
      <c r="D6068" s="5" t="s">
        <v>12</v>
      </c>
      <c r="E6068" s="5" t="s">
        <v>3962</v>
      </c>
    </row>
    <row r="6069" spans="1:5" x14ac:dyDescent="0.25">
      <c r="A6069" s="5">
        <f>6061</f>
      </c>
      <c r="B6069" s="5" t="s">
        <v>5311</v>
      </c>
      <c r="C6069" s="5" t="s">
        <v>11</v>
      </c>
      <c r="D6069" s="5" t="s">
        <v>12</v>
      </c>
      <c r="E6069" s="5" t="s">
        <v>3962</v>
      </c>
    </row>
    <row r="6070" spans="1:5" x14ac:dyDescent="0.25">
      <c r="A6070" s="5">
        <f>6062</f>
      </c>
      <c r="B6070" s="5" t="s">
        <v>5312</v>
      </c>
      <c r="C6070" s="5" t="s">
        <v>11</v>
      </c>
      <c r="D6070" s="5" t="s">
        <v>12</v>
      </c>
      <c r="E6070" s="5" t="s">
        <v>3962</v>
      </c>
    </row>
    <row r="6071" spans="1:5" x14ac:dyDescent="0.25">
      <c r="A6071" s="5">
        <f>6063</f>
      </c>
      <c r="B6071" s="5" t="s">
        <v>5313</v>
      </c>
      <c r="C6071" s="5" t="s">
        <v>11</v>
      </c>
      <c r="D6071" s="5" t="s">
        <v>12</v>
      </c>
      <c r="E6071" s="5" t="s">
        <v>3962</v>
      </c>
    </row>
    <row r="6072" spans="1:5" x14ac:dyDescent="0.25">
      <c r="A6072" s="5">
        <f>6064</f>
      </c>
      <c r="B6072" s="5" t="s">
        <v>5314</v>
      </c>
      <c r="C6072" s="5" t="s">
        <v>11</v>
      </c>
      <c r="D6072" s="5" t="s">
        <v>12</v>
      </c>
      <c r="E6072" s="5" t="s">
        <v>3962</v>
      </c>
    </row>
    <row r="6073" spans="1:5" x14ac:dyDescent="0.25">
      <c r="A6073" s="5">
        <f>6065</f>
      </c>
      <c r="B6073" s="5" t="s">
        <v>5315</v>
      </c>
      <c r="C6073" s="5" t="s">
        <v>11</v>
      </c>
      <c r="D6073" s="5" t="s">
        <v>12</v>
      </c>
      <c r="E6073" s="5" t="s">
        <v>3962</v>
      </c>
    </row>
    <row r="6074" spans="1:5" x14ac:dyDescent="0.25">
      <c r="A6074" s="5">
        <f>6066</f>
      </c>
      <c r="B6074" s="5" t="s">
        <v>5316</v>
      </c>
      <c r="C6074" s="5" t="s">
        <v>11</v>
      </c>
      <c r="D6074" s="5" t="s">
        <v>12</v>
      </c>
      <c r="E6074" s="5" t="s">
        <v>3962</v>
      </c>
    </row>
    <row r="6075" spans="1:5" x14ac:dyDescent="0.25">
      <c r="A6075" s="5">
        <f>6067</f>
      </c>
      <c r="B6075" s="5" t="s">
        <v>5317</v>
      </c>
      <c r="C6075" s="5" t="s">
        <v>11</v>
      </c>
      <c r="D6075" s="5" t="s">
        <v>12</v>
      </c>
      <c r="E6075" s="5" t="s">
        <v>3962</v>
      </c>
    </row>
    <row r="6076" spans="1:5" x14ac:dyDescent="0.25">
      <c r="A6076" s="5">
        <f>6068</f>
      </c>
      <c r="B6076" s="5" t="s">
        <v>5318</v>
      </c>
      <c r="C6076" s="5" t="s">
        <v>11</v>
      </c>
      <c r="D6076" s="5" t="s">
        <v>12</v>
      </c>
      <c r="E6076" s="5" t="s">
        <v>3962</v>
      </c>
    </row>
    <row r="6077" spans="1:5" x14ac:dyDescent="0.25">
      <c r="A6077" s="5">
        <f>6069</f>
      </c>
      <c r="B6077" s="5" t="s">
        <v>5319</v>
      </c>
      <c r="C6077" s="5" t="s">
        <v>11</v>
      </c>
      <c r="D6077" s="5" t="s">
        <v>12</v>
      </c>
      <c r="E6077" s="5" t="s">
        <v>3962</v>
      </c>
    </row>
    <row r="6078" spans="1:5" x14ac:dyDescent="0.25">
      <c r="A6078" s="5">
        <f>6070</f>
      </c>
      <c r="B6078" s="5" t="s">
        <v>5320</v>
      </c>
      <c r="C6078" s="5" t="s">
        <v>11</v>
      </c>
      <c r="D6078" s="5" t="s">
        <v>12</v>
      </c>
      <c r="E6078" s="5" t="s">
        <v>3962</v>
      </c>
    </row>
    <row r="6079" spans="1:5" x14ac:dyDescent="0.25">
      <c r="A6079" s="5">
        <f>6071</f>
      </c>
      <c r="B6079" s="5" t="s">
        <v>5321</v>
      </c>
      <c r="C6079" s="5" t="s">
        <v>11</v>
      </c>
      <c r="D6079" s="5" t="s">
        <v>12</v>
      </c>
      <c r="E6079" s="5" t="s">
        <v>3962</v>
      </c>
    </row>
    <row r="6080" spans="1:5" x14ac:dyDescent="0.25">
      <c r="A6080" s="5">
        <f>6072</f>
      </c>
      <c r="B6080" s="5" t="s">
        <v>5322</v>
      </c>
      <c r="C6080" s="5" t="s">
        <v>11</v>
      </c>
      <c r="D6080" s="5" t="s">
        <v>12</v>
      </c>
      <c r="E6080" s="5" t="s">
        <v>3962</v>
      </c>
    </row>
    <row r="6081" spans="1:5" x14ac:dyDescent="0.25">
      <c r="A6081" s="5">
        <f>6073</f>
      </c>
      <c r="B6081" s="5" t="s">
        <v>5323</v>
      </c>
      <c r="C6081" s="5" t="s">
        <v>11</v>
      </c>
      <c r="D6081" s="5" t="s">
        <v>12</v>
      </c>
      <c r="E6081" s="5" t="s">
        <v>3962</v>
      </c>
    </row>
    <row r="6082" spans="1:5" x14ac:dyDescent="0.25">
      <c r="A6082" s="5">
        <f>6074</f>
      </c>
      <c r="B6082" s="5" t="s">
        <v>5324</v>
      </c>
      <c r="C6082" s="5" t="s">
        <v>11</v>
      </c>
      <c r="D6082" s="5" t="s">
        <v>12</v>
      </c>
      <c r="E6082" s="5" t="s">
        <v>3962</v>
      </c>
    </row>
    <row r="6083" spans="1:5" x14ac:dyDescent="0.25">
      <c r="A6083" s="5">
        <f>6075</f>
      </c>
      <c r="B6083" s="5" t="s">
        <v>5325</v>
      </c>
      <c r="C6083" s="5" t="s">
        <v>11</v>
      </c>
      <c r="D6083" s="5" t="s">
        <v>12</v>
      </c>
      <c r="E6083" s="5" t="s">
        <v>3962</v>
      </c>
    </row>
    <row r="6084" spans="1:5" x14ac:dyDescent="0.25">
      <c r="A6084" s="5">
        <f>6076</f>
      </c>
      <c r="B6084" s="5" t="s">
        <v>5326</v>
      </c>
      <c r="C6084" s="5" t="s">
        <v>11</v>
      </c>
      <c r="D6084" s="5" t="s">
        <v>12</v>
      </c>
      <c r="E6084" s="5" t="s">
        <v>3962</v>
      </c>
    </row>
    <row r="6085" spans="1:5" x14ac:dyDescent="0.25">
      <c r="A6085" s="5">
        <f>6077</f>
      </c>
      <c r="B6085" s="5" t="s">
        <v>5327</v>
      </c>
      <c r="C6085" s="5" t="s">
        <v>11</v>
      </c>
      <c r="D6085" s="5" t="s">
        <v>12</v>
      </c>
      <c r="E6085" s="5" t="s">
        <v>3962</v>
      </c>
    </row>
    <row r="6086" spans="1:5" x14ac:dyDescent="0.25">
      <c r="A6086" s="5">
        <f>6078</f>
      </c>
      <c r="B6086" s="5" t="s">
        <v>5328</v>
      </c>
      <c r="C6086" s="5" t="s">
        <v>11</v>
      </c>
      <c r="D6086" s="5" t="s">
        <v>12</v>
      </c>
      <c r="E6086" s="5" t="s">
        <v>3962</v>
      </c>
    </row>
    <row r="6087" spans="1:5" x14ac:dyDescent="0.25">
      <c r="A6087" s="5">
        <f>6079</f>
      </c>
      <c r="B6087" s="5" t="s">
        <v>5329</v>
      </c>
      <c r="C6087" s="5" t="s">
        <v>11</v>
      </c>
      <c r="D6087" s="5" t="s">
        <v>12</v>
      </c>
      <c r="E6087" s="5" t="s">
        <v>3962</v>
      </c>
    </row>
    <row r="6088" spans="1:5" x14ac:dyDescent="0.25">
      <c r="A6088" s="5">
        <f>6080</f>
      </c>
      <c r="B6088" s="5" t="s">
        <v>5330</v>
      </c>
      <c r="C6088" s="5" t="s">
        <v>11</v>
      </c>
      <c r="D6088" s="5" t="s">
        <v>12</v>
      </c>
      <c r="E6088" s="5" t="s">
        <v>3962</v>
      </c>
    </row>
    <row r="6089" spans="1:5" x14ac:dyDescent="0.25">
      <c r="A6089" s="5">
        <f>6081</f>
      </c>
      <c r="B6089" s="5" t="s">
        <v>5331</v>
      </c>
      <c r="C6089" s="5" t="s">
        <v>11</v>
      </c>
      <c r="D6089" s="5" t="s">
        <v>12</v>
      </c>
      <c r="E6089" s="5" t="s">
        <v>3962</v>
      </c>
    </row>
    <row r="6090" spans="1:5" x14ac:dyDescent="0.25">
      <c r="A6090" s="5">
        <f>6082</f>
      </c>
      <c r="B6090" s="5" t="s">
        <v>5332</v>
      </c>
      <c r="C6090" s="5" t="s">
        <v>11</v>
      </c>
      <c r="D6090" s="5" t="s">
        <v>12</v>
      </c>
      <c r="E6090" s="5" t="s">
        <v>3962</v>
      </c>
    </row>
    <row r="6091" spans="1:5" x14ac:dyDescent="0.25">
      <c r="A6091" s="5">
        <f>6083</f>
      </c>
      <c r="B6091" s="5" t="s">
        <v>5333</v>
      </c>
      <c r="C6091" s="5" t="s">
        <v>11</v>
      </c>
      <c r="D6091" s="5" t="s">
        <v>12</v>
      </c>
      <c r="E6091" s="5" t="s">
        <v>3962</v>
      </c>
    </row>
    <row r="6092" spans="1:5" x14ac:dyDescent="0.25">
      <c r="A6092" s="5">
        <f>6084</f>
      </c>
      <c r="B6092" s="5" t="s">
        <v>5334</v>
      </c>
      <c r="C6092" s="5" t="s">
        <v>11</v>
      </c>
      <c r="D6092" s="5" t="s">
        <v>12</v>
      </c>
      <c r="E6092" s="5" t="s">
        <v>3962</v>
      </c>
    </row>
    <row r="6093" spans="1:5" x14ac:dyDescent="0.25">
      <c r="A6093" s="5">
        <f>6085</f>
      </c>
      <c r="B6093" s="5" t="s">
        <v>5335</v>
      </c>
      <c r="C6093" s="5" t="s">
        <v>11</v>
      </c>
      <c r="D6093" s="5" t="s">
        <v>12</v>
      </c>
      <c r="E6093" s="5" t="s">
        <v>3962</v>
      </c>
    </row>
    <row r="6094" spans="1:5" x14ac:dyDescent="0.25">
      <c r="A6094" s="5">
        <f>6086</f>
      </c>
      <c r="B6094" s="5" t="s">
        <v>5336</v>
      </c>
      <c r="C6094" s="5" t="s">
        <v>11</v>
      </c>
      <c r="D6094" s="5" t="s">
        <v>12</v>
      </c>
      <c r="E6094" s="5" t="s">
        <v>3962</v>
      </c>
    </row>
    <row r="6095" spans="1:5" x14ac:dyDescent="0.25">
      <c r="A6095" s="5">
        <f>6087</f>
      </c>
      <c r="B6095" s="5" t="s">
        <v>5337</v>
      </c>
      <c r="C6095" s="5" t="s">
        <v>11</v>
      </c>
      <c r="D6095" s="5" t="s">
        <v>12</v>
      </c>
      <c r="E6095" s="5" t="s">
        <v>3962</v>
      </c>
    </row>
    <row r="6096" spans="1:5" x14ac:dyDescent="0.25">
      <c r="A6096" s="5">
        <f>6088</f>
      </c>
      <c r="B6096" s="5" t="s">
        <v>5338</v>
      </c>
      <c r="C6096" s="5" t="s">
        <v>11</v>
      </c>
      <c r="D6096" s="5" t="s">
        <v>12</v>
      </c>
      <c r="E6096" s="5" t="s">
        <v>3962</v>
      </c>
    </row>
    <row r="6097" spans="1:5" x14ac:dyDescent="0.25">
      <c r="A6097" s="5">
        <f>6089</f>
      </c>
      <c r="B6097" s="5" t="s">
        <v>5339</v>
      </c>
      <c r="C6097" s="5" t="s">
        <v>11</v>
      </c>
      <c r="D6097" s="5" t="s">
        <v>12</v>
      </c>
      <c r="E6097" s="5" t="s">
        <v>3962</v>
      </c>
    </row>
    <row r="6098" spans="1:5" x14ac:dyDescent="0.25">
      <c r="A6098" s="5">
        <f>6090</f>
      </c>
      <c r="B6098" s="5" t="s">
        <v>5340</v>
      </c>
      <c r="C6098" s="5" t="s">
        <v>11</v>
      </c>
      <c r="D6098" s="5" t="s">
        <v>12</v>
      </c>
      <c r="E6098" s="5" t="s">
        <v>3962</v>
      </c>
    </row>
    <row r="6099" spans="1:5" x14ac:dyDescent="0.25">
      <c r="A6099" s="5">
        <f>6091</f>
      </c>
      <c r="B6099" s="5" t="s">
        <v>5341</v>
      </c>
      <c r="C6099" s="5" t="s">
        <v>11</v>
      </c>
      <c r="D6099" s="5" t="s">
        <v>12</v>
      </c>
      <c r="E6099" s="5" t="s">
        <v>3962</v>
      </c>
    </row>
    <row r="6100" spans="1:5" x14ac:dyDescent="0.25">
      <c r="A6100" s="5">
        <f>6092</f>
      </c>
      <c r="B6100" s="5" t="s">
        <v>5342</v>
      </c>
      <c r="C6100" s="5" t="s">
        <v>11</v>
      </c>
      <c r="D6100" s="5" t="s">
        <v>12</v>
      </c>
      <c r="E6100" s="5" t="s">
        <v>3962</v>
      </c>
    </row>
    <row r="6101" spans="1:5" x14ac:dyDescent="0.25">
      <c r="A6101" s="5">
        <f>6093</f>
      </c>
      <c r="B6101" s="5" t="s">
        <v>5343</v>
      </c>
      <c r="C6101" s="5" t="s">
        <v>11</v>
      </c>
      <c r="D6101" s="5" t="s">
        <v>12</v>
      </c>
      <c r="E6101" s="5" t="s">
        <v>3962</v>
      </c>
    </row>
    <row r="6102" spans="1:5" x14ac:dyDescent="0.25">
      <c r="A6102" s="5">
        <f>6094</f>
      </c>
      <c r="B6102" s="5" t="s">
        <v>5344</v>
      </c>
      <c r="C6102" s="5" t="s">
        <v>11</v>
      </c>
      <c r="D6102" s="5" t="s">
        <v>12</v>
      </c>
      <c r="E6102" s="5" t="s">
        <v>3962</v>
      </c>
    </row>
    <row r="6103" spans="1:5" x14ac:dyDescent="0.25">
      <c r="A6103" s="5">
        <f>6095</f>
      </c>
      <c r="B6103" s="5" t="s">
        <v>5345</v>
      </c>
      <c r="C6103" s="5" t="s">
        <v>11</v>
      </c>
      <c r="D6103" s="5" t="s">
        <v>12</v>
      </c>
      <c r="E6103" s="5" t="s">
        <v>3962</v>
      </c>
    </row>
    <row r="6104" spans="1:5" x14ac:dyDescent="0.25">
      <c r="A6104" s="5">
        <f>6096</f>
      </c>
      <c r="B6104" s="5" t="s">
        <v>5346</v>
      </c>
      <c r="C6104" s="5" t="s">
        <v>11</v>
      </c>
      <c r="D6104" s="5" t="s">
        <v>12</v>
      </c>
      <c r="E6104" s="5" t="s">
        <v>3962</v>
      </c>
    </row>
    <row r="6105" spans="1:5" x14ac:dyDescent="0.25">
      <c r="A6105" s="5">
        <f>6097</f>
      </c>
      <c r="B6105" s="5" t="s">
        <v>5347</v>
      </c>
      <c r="C6105" s="5" t="s">
        <v>11</v>
      </c>
      <c r="D6105" s="5" t="s">
        <v>12</v>
      </c>
      <c r="E6105" s="5" t="s">
        <v>3962</v>
      </c>
    </row>
    <row r="6106" spans="1:5" x14ac:dyDescent="0.25">
      <c r="A6106" s="5">
        <f>6098</f>
      </c>
      <c r="B6106" s="5" t="s">
        <v>5348</v>
      </c>
      <c r="C6106" s="5" t="s">
        <v>11</v>
      </c>
      <c r="D6106" s="5" t="s">
        <v>12</v>
      </c>
      <c r="E6106" s="5" t="s">
        <v>3962</v>
      </c>
    </row>
    <row r="6107" spans="1:5" x14ac:dyDescent="0.25">
      <c r="A6107" s="5">
        <f>6099</f>
      </c>
      <c r="B6107" s="5" t="s">
        <v>5349</v>
      </c>
      <c r="C6107" s="5" t="s">
        <v>11</v>
      </c>
      <c r="D6107" s="5" t="s">
        <v>12</v>
      </c>
      <c r="E6107" s="5" t="s">
        <v>3962</v>
      </c>
    </row>
    <row r="6108" spans="1:5" x14ac:dyDescent="0.25">
      <c r="A6108" s="5">
        <f>6100</f>
      </c>
      <c r="B6108" s="5" t="s">
        <v>5350</v>
      </c>
      <c r="C6108" s="5" t="s">
        <v>11</v>
      </c>
      <c r="D6108" s="5" t="s">
        <v>12</v>
      </c>
      <c r="E6108" s="5" t="s">
        <v>3962</v>
      </c>
    </row>
    <row r="6109" spans="1:5" x14ac:dyDescent="0.25">
      <c r="A6109" s="5">
        <f>6101</f>
      </c>
      <c r="B6109" s="5" t="s">
        <v>5351</v>
      </c>
      <c r="C6109" s="5" t="s">
        <v>11</v>
      </c>
      <c r="D6109" s="5" t="s">
        <v>12</v>
      </c>
      <c r="E6109" s="5" t="s">
        <v>3962</v>
      </c>
    </row>
    <row r="6110" spans="1:5" x14ac:dyDescent="0.25">
      <c r="A6110" s="5">
        <f>6102</f>
      </c>
      <c r="B6110" s="5" t="s">
        <v>5352</v>
      </c>
      <c r="C6110" s="5" t="s">
        <v>11</v>
      </c>
      <c r="D6110" s="5" t="s">
        <v>12</v>
      </c>
      <c r="E6110" s="5" t="s">
        <v>3962</v>
      </c>
    </row>
    <row r="6111" spans="1:5" x14ac:dyDescent="0.25">
      <c r="A6111" s="5">
        <f>6103</f>
      </c>
      <c r="B6111" s="5" t="s">
        <v>5353</v>
      </c>
      <c r="C6111" s="5" t="s">
        <v>11</v>
      </c>
      <c r="D6111" s="5" t="s">
        <v>12</v>
      </c>
      <c r="E6111" s="5" t="s">
        <v>3962</v>
      </c>
    </row>
    <row r="6112" spans="1:5" x14ac:dyDescent="0.25">
      <c r="A6112" s="5">
        <f>6104</f>
      </c>
      <c r="B6112" s="5" t="s">
        <v>5354</v>
      </c>
      <c r="C6112" s="5" t="s">
        <v>11</v>
      </c>
      <c r="D6112" s="5" t="s">
        <v>12</v>
      </c>
      <c r="E6112" s="5" t="s">
        <v>3962</v>
      </c>
    </row>
    <row r="6113" spans="1:5" x14ac:dyDescent="0.25">
      <c r="A6113" s="5">
        <f>6105</f>
      </c>
      <c r="B6113" s="5" t="s">
        <v>5355</v>
      </c>
      <c r="C6113" s="5" t="s">
        <v>11</v>
      </c>
      <c r="D6113" s="5" t="s">
        <v>12</v>
      </c>
      <c r="E6113" s="5" t="s">
        <v>3962</v>
      </c>
    </row>
    <row r="6114" spans="1:5" x14ac:dyDescent="0.25">
      <c r="A6114" s="5">
        <f>6106</f>
      </c>
      <c r="B6114" s="5" t="s">
        <v>5356</v>
      </c>
      <c r="C6114" s="5" t="s">
        <v>11</v>
      </c>
      <c r="D6114" s="5" t="s">
        <v>12</v>
      </c>
      <c r="E6114" s="5" t="s">
        <v>3962</v>
      </c>
    </row>
    <row r="6115" spans="1:5" x14ac:dyDescent="0.25">
      <c r="A6115" s="5">
        <f>6107</f>
      </c>
      <c r="B6115" s="5" t="s">
        <v>5357</v>
      </c>
      <c r="C6115" s="5" t="s">
        <v>11</v>
      </c>
      <c r="D6115" s="5" t="s">
        <v>12</v>
      </c>
      <c r="E6115" s="5" t="s">
        <v>3962</v>
      </c>
    </row>
    <row r="6116" spans="1:5" x14ac:dyDescent="0.25">
      <c r="A6116" s="5">
        <f>6108</f>
      </c>
      <c r="B6116" s="5" t="s">
        <v>5358</v>
      </c>
      <c r="C6116" s="5" t="s">
        <v>11</v>
      </c>
      <c r="D6116" s="5" t="s">
        <v>12</v>
      </c>
      <c r="E6116" s="5" t="s">
        <v>3962</v>
      </c>
    </row>
    <row r="6117" spans="1:5" x14ac:dyDescent="0.25">
      <c r="A6117" s="5">
        <f>6109</f>
      </c>
      <c r="B6117" s="5" t="s">
        <v>5359</v>
      </c>
      <c r="C6117" s="5" t="s">
        <v>11</v>
      </c>
      <c r="D6117" s="5" t="s">
        <v>12</v>
      </c>
      <c r="E6117" s="5" t="s">
        <v>3962</v>
      </c>
    </row>
    <row r="6118" spans="1:5" x14ac:dyDescent="0.25">
      <c r="A6118" s="5">
        <f>6110</f>
      </c>
      <c r="B6118" s="5" t="s">
        <v>5360</v>
      </c>
      <c r="C6118" s="5" t="s">
        <v>11</v>
      </c>
      <c r="D6118" s="5" t="s">
        <v>12</v>
      </c>
      <c r="E6118" s="5" t="s">
        <v>3962</v>
      </c>
    </row>
    <row r="6119" spans="1:5" x14ac:dyDescent="0.25">
      <c r="A6119" s="5">
        <f>6111</f>
      </c>
      <c r="B6119" s="5" t="s">
        <v>5361</v>
      </c>
      <c r="C6119" s="5" t="s">
        <v>11</v>
      </c>
      <c r="D6119" s="5" t="s">
        <v>12</v>
      </c>
      <c r="E6119" s="5" t="s">
        <v>3962</v>
      </c>
    </row>
    <row r="6120" spans="1:5" x14ac:dyDescent="0.25">
      <c r="A6120" s="5">
        <f>6112</f>
      </c>
      <c r="B6120" s="5" t="s">
        <v>5362</v>
      </c>
      <c r="C6120" s="5" t="s">
        <v>11</v>
      </c>
      <c r="D6120" s="5" t="s">
        <v>12</v>
      </c>
      <c r="E6120" s="5" t="s">
        <v>3962</v>
      </c>
    </row>
    <row r="6121" spans="1:5" x14ac:dyDescent="0.25">
      <c r="A6121" s="5">
        <f>6113</f>
      </c>
      <c r="B6121" s="5" t="s">
        <v>5363</v>
      </c>
      <c r="C6121" s="5" t="s">
        <v>11</v>
      </c>
      <c r="D6121" s="5" t="s">
        <v>12</v>
      </c>
      <c r="E6121" s="5" t="s">
        <v>3962</v>
      </c>
    </row>
    <row r="6122" spans="1:5" x14ac:dyDescent="0.25">
      <c r="A6122" s="5">
        <f>6114</f>
      </c>
      <c r="B6122" s="5" t="s">
        <v>5364</v>
      </c>
      <c r="C6122" s="5" t="s">
        <v>11</v>
      </c>
      <c r="D6122" s="5" t="s">
        <v>12</v>
      </c>
      <c r="E6122" s="5" t="s">
        <v>3962</v>
      </c>
    </row>
    <row r="6123" spans="1:5" x14ac:dyDescent="0.25">
      <c r="A6123" s="5">
        <f>6115</f>
      </c>
      <c r="B6123" s="5" t="s">
        <v>5365</v>
      </c>
      <c r="C6123" s="5" t="s">
        <v>11</v>
      </c>
      <c r="D6123" s="5" t="s">
        <v>12</v>
      </c>
      <c r="E6123" s="5" t="s">
        <v>3962</v>
      </c>
    </row>
    <row r="6124" spans="1:5" x14ac:dyDescent="0.25">
      <c r="A6124" s="5">
        <f>6116</f>
      </c>
      <c r="B6124" s="5" t="s">
        <v>5366</v>
      </c>
      <c r="C6124" s="5" t="s">
        <v>11</v>
      </c>
      <c r="D6124" s="5" t="s">
        <v>12</v>
      </c>
      <c r="E6124" s="5" t="s">
        <v>3962</v>
      </c>
    </row>
    <row r="6125" spans="1:5" x14ac:dyDescent="0.25">
      <c r="A6125" s="5">
        <f>6117</f>
      </c>
      <c r="B6125" s="5" t="s">
        <v>5367</v>
      </c>
      <c r="C6125" s="5" t="s">
        <v>11</v>
      </c>
      <c r="D6125" s="5" t="s">
        <v>12</v>
      </c>
      <c r="E6125" s="5" t="s">
        <v>3962</v>
      </c>
    </row>
    <row r="6126" spans="1:5" x14ac:dyDescent="0.25">
      <c r="A6126" s="5">
        <f>6118</f>
      </c>
      <c r="B6126" s="5" t="s">
        <v>5368</v>
      </c>
      <c r="C6126" s="5" t="s">
        <v>11</v>
      </c>
      <c r="D6126" s="5" t="s">
        <v>12</v>
      </c>
      <c r="E6126" s="5" t="s">
        <v>3962</v>
      </c>
    </row>
    <row r="6127" spans="1:5" x14ac:dyDescent="0.25">
      <c r="A6127" s="5">
        <f>6119</f>
      </c>
      <c r="B6127" s="5" t="s">
        <v>5369</v>
      </c>
      <c r="C6127" s="5" t="s">
        <v>11</v>
      </c>
      <c r="D6127" s="5" t="s">
        <v>12</v>
      </c>
      <c r="E6127" s="5" t="s">
        <v>3962</v>
      </c>
    </row>
    <row r="6128" spans="1:5" x14ac:dyDescent="0.25">
      <c r="A6128" s="5">
        <f>6120</f>
      </c>
      <c r="B6128" s="5" t="s">
        <v>5370</v>
      </c>
      <c r="C6128" s="5" t="s">
        <v>11</v>
      </c>
      <c r="D6128" s="5" t="s">
        <v>12</v>
      </c>
      <c r="E6128" s="5" t="s">
        <v>3962</v>
      </c>
    </row>
    <row r="6129" spans="1:5" x14ac:dyDescent="0.25">
      <c r="A6129" s="5">
        <f>6121</f>
      </c>
      <c r="B6129" s="5" t="s">
        <v>5371</v>
      </c>
      <c r="C6129" s="5" t="s">
        <v>11</v>
      </c>
      <c r="D6129" s="5" t="s">
        <v>12</v>
      </c>
      <c r="E6129" s="5" t="s">
        <v>3962</v>
      </c>
    </row>
    <row r="6130" spans="1:5" x14ac:dyDescent="0.25">
      <c r="A6130" s="5">
        <f>6122</f>
      </c>
      <c r="B6130" s="5" t="s">
        <v>5372</v>
      </c>
      <c r="C6130" s="5" t="s">
        <v>11</v>
      </c>
      <c r="D6130" s="5" t="s">
        <v>12</v>
      </c>
      <c r="E6130" s="5" t="s">
        <v>3962</v>
      </c>
    </row>
    <row r="6131" spans="1:5" x14ac:dyDescent="0.25">
      <c r="A6131" s="5">
        <f>6123</f>
      </c>
      <c r="B6131" s="5" t="s">
        <v>5373</v>
      </c>
      <c r="C6131" s="5" t="s">
        <v>11</v>
      </c>
      <c r="D6131" s="5" t="s">
        <v>12</v>
      </c>
      <c r="E6131" s="5" t="s">
        <v>3962</v>
      </c>
    </row>
    <row r="6132" spans="1:5" x14ac:dyDescent="0.25">
      <c r="A6132" s="5">
        <f>6124</f>
      </c>
      <c r="B6132" s="5" t="s">
        <v>5374</v>
      </c>
      <c r="C6132" s="5" t="s">
        <v>11</v>
      </c>
      <c r="D6132" s="5" t="s">
        <v>12</v>
      </c>
      <c r="E6132" s="5" t="s">
        <v>3962</v>
      </c>
    </row>
    <row r="6133" spans="1:5" x14ac:dyDescent="0.25">
      <c r="A6133" s="5">
        <f>6125</f>
      </c>
      <c r="B6133" s="5" t="s">
        <v>5375</v>
      </c>
      <c r="C6133" s="5" t="s">
        <v>11</v>
      </c>
      <c r="D6133" s="5" t="s">
        <v>12</v>
      </c>
      <c r="E6133" s="5" t="s">
        <v>3962</v>
      </c>
    </row>
    <row r="6134" spans="1:5" x14ac:dyDescent="0.25">
      <c r="A6134" s="5">
        <f>6126</f>
      </c>
      <c r="B6134" s="5" t="s">
        <v>5376</v>
      </c>
      <c r="C6134" s="5" t="s">
        <v>11</v>
      </c>
      <c r="D6134" s="5" t="s">
        <v>12</v>
      </c>
      <c r="E6134" s="5" t="s">
        <v>3962</v>
      </c>
    </row>
    <row r="6135" spans="1:5" x14ac:dyDescent="0.25">
      <c r="A6135" s="5">
        <f>6127</f>
      </c>
      <c r="B6135" s="5" t="s">
        <v>5377</v>
      </c>
      <c r="C6135" s="5" t="s">
        <v>11</v>
      </c>
      <c r="D6135" s="5" t="s">
        <v>12</v>
      </c>
      <c r="E6135" s="5" t="s">
        <v>3962</v>
      </c>
    </row>
    <row r="6136" spans="1:5" x14ac:dyDescent="0.25">
      <c r="A6136" s="5">
        <f>6128</f>
      </c>
      <c r="B6136" s="5" t="s">
        <v>5378</v>
      </c>
      <c r="C6136" s="5" t="s">
        <v>11</v>
      </c>
      <c r="D6136" s="5" t="s">
        <v>12</v>
      </c>
      <c r="E6136" s="5" t="s">
        <v>3962</v>
      </c>
    </row>
    <row r="6137" spans="1:5" x14ac:dyDescent="0.25">
      <c r="A6137" s="5">
        <f>6129</f>
      </c>
      <c r="B6137" s="5" t="s">
        <v>5379</v>
      </c>
      <c r="C6137" s="5" t="s">
        <v>11</v>
      </c>
      <c r="D6137" s="5" t="s">
        <v>12</v>
      </c>
      <c r="E6137" s="5" t="s">
        <v>3962</v>
      </c>
    </row>
    <row r="6138" spans="1:5" x14ac:dyDescent="0.25">
      <c r="A6138" s="5">
        <f>6130</f>
      </c>
      <c r="B6138" s="5" t="s">
        <v>5380</v>
      </c>
      <c r="C6138" s="5" t="s">
        <v>11</v>
      </c>
      <c r="D6138" s="5" t="s">
        <v>12</v>
      </c>
      <c r="E6138" s="5" t="s">
        <v>3962</v>
      </c>
    </row>
    <row r="6139" spans="1:5" x14ac:dyDescent="0.25">
      <c r="A6139" s="5">
        <f>6131</f>
      </c>
      <c r="B6139" s="5" t="s">
        <v>5381</v>
      </c>
      <c r="C6139" s="5" t="s">
        <v>11</v>
      </c>
      <c r="D6139" s="5" t="s">
        <v>12</v>
      </c>
      <c r="E6139" s="5" t="s">
        <v>3962</v>
      </c>
    </row>
    <row r="6140" spans="1:5" x14ac:dyDescent="0.25">
      <c r="A6140" s="5">
        <f>6132</f>
      </c>
      <c r="B6140" s="5" t="s">
        <v>5382</v>
      </c>
      <c r="C6140" s="5" t="s">
        <v>11</v>
      </c>
      <c r="D6140" s="5" t="s">
        <v>12</v>
      </c>
      <c r="E6140" s="5" t="s">
        <v>3962</v>
      </c>
    </row>
    <row r="6141" spans="1:5" x14ac:dyDescent="0.25">
      <c r="A6141" s="5">
        <f>6133</f>
      </c>
      <c r="B6141" s="5" t="s">
        <v>5383</v>
      </c>
      <c r="C6141" s="5" t="s">
        <v>11</v>
      </c>
      <c r="D6141" s="5" t="s">
        <v>12</v>
      </c>
      <c r="E6141" s="5" t="s">
        <v>3962</v>
      </c>
    </row>
    <row r="6142" spans="1:5" x14ac:dyDescent="0.25">
      <c r="A6142" s="5">
        <f>6134</f>
      </c>
      <c r="B6142" s="5" t="s">
        <v>5384</v>
      </c>
      <c r="C6142" s="5" t="s">
        <v>11</v>
      </c>
      <c r="D6142" s="5" t="s">
        <v>12</v>
      </c>
      <c r="E6142" s="5" t="s">
        <v>3962</v>
      </c>
    </row>
    <row r="6143" spans="1:5" x14ac:dyDescent="0.25">
      <c r="A6143" s="5">
        <f>6135</f>
      </c>
      <c r="B6143" s="5" t="s">
        <v>5385</v>
      </c>
      <c r="C6143" s="5" t="s">
        <v>11</v>
      </c>
      <c r="D6143" s="5" t="s">
        <v>12</v>
      </c>
      <c r="E6143" s="5" t="s">
        <v>3962</v>
      </c>
    </row>
    <row r="6144" spans="1:5" x14ac:dyDescent="0.25">
      <c r="A6144" s="5">
        <f>6136</f>
      </c>
      <c r="B6144" s="5" t="s">
        <v>5386</v>
      </c>
      <c r="C6144" s="5" t="s">
        <v>11</v>
      </c>
      <c r="D6144" s="5" t="s">
        <v>12</v>
      </c>
      <c r="E6144" s="5" t="s">
        <v>3962</v>
      </c>
    </row>
    <row r="6145" spans="1:5" x14ac:dyDescent="0.25">
      <c r="A6145" s="5">
        <f>6137</f>
      </c>
      <c r="B6145" s="5" t="s">
        <v>5387</v>
      </c>
      <c r="C6145" s="5" t="s">
        <v>11</v>
      </c>
      <c r="D6145" s="5" t="s">
        <v>12</v>
      </c>
      <c r="E6145" s="5" t="s">
        <v>3962</v>
      </c>
    </row>
    <row r="6146" spans="1:5" x14ac:dyDescent="0.25">
      <c r="A6146" s="5">
        <f>6138</f>
      </c>
      <c r="B6146" s="5" t="s">
        <v>5388</v>
      </c>
      <c r="C6146" s="5" t="s">
        <v>11</v>
      </c>
      <c r="D6146" s="5" t="s">
        <v>12</v>
      </c>
      <c r="E6146" s="5" t="s">
        <v>3962</v>
      </c>
    </row>
    <row r="6147" spans="1:5" x14ac:dyDescent="0.25">
      <c r="A6147" s="5">
        <f>6139</f>
      </c>
      <c r="B6147" s="5" t="s">
        <v>5389</v>
      </c>
      <c r="C6147" s="5" t="s">
        <v>11</v>
      </c>
      <c r="D6147" s="5" t="s">
        <v>12</v>
      </c>
      <c r="E6147" s="5" t="s">
        <v>3962</v>
      </c>
    </row>
    <row r="6148" spans="1:5" x14ac:dyDescent="0.25">
      <c r="A6148" s="5">
        <f>6140</f>
      </c>
      <c r="B6148" s="5" t="s">
        <v>5390</v>
      </c>
      <c r="C6148" s="5" t="s">
        <v>11</v>
      </c>
      <c r="D6148" s="5" t="s">
        <v>12</v>
      </c>
      <c r="E6148" s="5" t="s">
        <v>3962</v>
      </c>
    </row>
    <row r="6149" spans="1:5" x14ac:dyDescent="0.25">
      <c r="A6149" s="5">
        <f>6141</f>
      </c>
      <c r="B6149" s="5" t="s">
        <v>5391</v>
      </c>
      <c r="C6149" s="5" t="s">
        <v>11</v>
      </c>
      <c r="D6149" s="5" t="s">
        <v>12</v>
      </c>
      <c r="E6149" s="5" t="s">
        <v>3962</v>
      </c>
    </row>
    <row r="6150" spans="1:5" x14ac:dyDescent="0.25">
      <c r="A6150" s="5">
        <f>6142</f>
      </c>
      <c r="B6150" s="5" t="s">
        <v>5392</v>
      </c>
      <c r="C6150" s="5" t="s">
        <v>11</v>
      </c>
      <c r="D6150" s="5" t="s">
        <v>12</v>
      </c>
      <c r="E6150" s="5" t="s">
        <v>3962</v>
      </c>
    </row>
    <row r="6151" spans="1:5" x14ac:dyDescent="0.25">
      <c r="A6151" s="5">
        <f>6143</f>
      </c>
      <c r="B6151" s="5" t="s">
        <v>5393</v>
      </c>
      <c r="C6151" s="5" t="s">
        <v>11</v>
      </c>
      <c r="D6151" s="5" t="s">
        <v>12</v>
      </c>
      <c r="E6151" s="5" t="s">
        <v>3962</v>
      </c>
    </row>
    <row r="6152" spans="1:5" x14ac:dyDescent="0.25">
      <c r="A6152" s="5">
        <f>6144</f>
      </c>
      <c r="B6152" s="5" t="s">
        <v>5394</v>
      </c>
      <c r="C6152" s="5" t="s">
        <v>11</v>
      </c>
      <c r="D6152" s="5" t="s">
        <v>12</v>
      </c>
      <c r="E6152" s="5" t="s">
        <v>3962</v>
      </c>
    </row>
    <row r="6153" spans="1:5" x14ac:dyDescent="0.25">
      <c r="A6153" s="5">
        <f>6145</f>
      </c>
      <c r="B6153" s="5" t="s">
        <v>5395</v>
      </c>
      <c r="C6153" s="5" t="s">
        <v>11</v>
      </c>
      <c r="D6153" s="5" t="s">
        <v>12</v>
      </c>
      <c r="E6153" s="5" t="s">
        <v>3962</v>
      </c>
    </row>
    <row r="6154" spans="1:5" x14ac:dyDescent="0.25">
      <c r="A6154" s="5">
        <f>6146</f>
      </c>
      <c r="B6154" s="5" t="s">
        <v>5396</v>
      </c>
      <c r="C6154" s="5" t="s">
        <v>11</v>
      </c>
      <c r="D6154" s="5" t="s">
        <v>12</v>
      </c>
      <c r="E6154" s="5" t="s">
        <v>3962</v>
      </c>
    </row>
    <row r="6155" spans="1:5" x14ac:dyDescent="0.25">
      <c r="A6155" s="5">
        <f>6147</f>
      </c>
      <c r="B6155" s="5" t="s">
        <v>5397</v>
      </c>
      <c r="C6155" s="5" t="s">
        <v>11</v>
      </c>
      <c r="D6155" s="5" t="s">
        <v>12</v>
      </c>
      <c r="E6155" s="5" t="s">
        <v>3962</v>
      </c>
    </row>
    <row r="6156" spans="1:5" x14ac:dyDescent="0.25">
      <c r="A6156" s="5">
        <f>6148</f>
      </c>
      <c r="B6156" s="5" t="s">
        <v>5398</v>
      </c>
      <c r="C6156" s="5" t="s">
        <v>11</v>
      </c>
      <c r="D6156" s="5" t="s">
        <v>12</v>
      </c>
      <c r="E6156" s="5" t="s">
        <v>3962</v>
      </c>
    </row>
    <row r="6157" spans="1:5" x14ac:dyDescent="0.25">
      <c r="A6157" s="5">
        <f>6149</f>
      </c>
      <c r="B6157" s="5" t="s">
        <v>5399</v>
      </c>
      <c r="C6157" s="5" t="s">
        <v>11</v>
      </c>
      <c r="D6157" s="5" t="s">
        <v>12</v>
      </c>
      <c r="E6157" s="5" t="s">
        <v>3962</v>
      </c>
    </row>
    <row r="6158" spans="1:5" x14ac:dyDescent="0.25">
      <c r="A6158" s="5">
        <f>6150</f>
      </c>
      <c r="B6158" s="5" t="s">
        <v>5400</v>
      </c>
      <c r="C6158" s="5" t="s">
        <v>11</v>
      </c>
      <c r="D6158" s="5" t="s">
        <v>12</v>
      </c>
      <c r="E6158" s="5" t="s">
        <v>3962</v>
      </c>
    </row>
    <row r="6159" spans="1:5" x14ac:dyDescent="0.25">
      <c r="A6159" s="5">
        <f>6151</f>
      </c>
      <c r="B6159" s="5" t="s">
        <v>5401</v>
      </c>
      <c r="C6159" s="5" t="s">
        <v>11</v>
      </c>
      <c r="D6159" s="5" t="s">
        <v>12</v>
      </c>
      <c r="E6159" s="5" t="s">
        <v>3962</v>
      </c>
    </row>
    <row r="6160" spans="1:5" x14ac:dyDescent="0.25">
      <c r="A6160" s="5">
        <f>6152</f>
      </c>
      <c r="B6160" s="5" t="s">
        <v>5402</v>
      </c>
      <c r="C6160" s="5" t="s">
        <v>11</v>
      </c>
      <c r="D6160" s="5" t="s">
        <v>12</v>
      </c>
      <c r="E6160" s="5" t="s">
        <v>3962</v>
      </c>
    </row>
    <row r="6161" spans="1:5" x14ac:dyDescent="0.25">
      <c r="A6161" s="5">
        <f>6153</f>
      </c>
      <c r="B6161" s="5" t="s">
        <v>5403</v>
      </c>
      <c r="C6161" s="5" t="s">
        <v>11</v>
      </c>
      <c r="D6161" s="5" t="s">
        <v>12</v>
      </c>
      <c r="E6161" s="5" t="s">
        <v>3962</v>
      </c>
    </row>
    <row r="6162" spans="1:5" x14ac:dyDescent="0.25">
      <c r="A6162" s="5">
        <f>6154</f>
      </c>
      <c r="B6162" s="5" t="s">
        <v>5404</v>
      </c>
      <c r="C6162" s="5" t="s">
        <v>11</v>
      </c>
      <c r="D6162" s="5" t="s">
        <v>12</v>
      </c>
      <c r="E6162" s="5" t="s">
        <v>3962</v>
      </c>
    </row>
    <row r="6163" spans="1:5" x14ac:dyDescent="0.25">
      <c r="A6163" s="5">
        <f>6155</f>
      </c>
      <c r="B6163" s="5" t="s">
        <v>5405</v>
      </c>
      <c r="C6163" s="5" t="s">
        <v>11</v>
      </c>
      <c r="D6163" s="5" t="s">
        <v>12</v>
      </c>
      <c r="E6163" s="5" t="s">
        <v>3962</v>
      </c>
    </row>
    <row r="6164" spans="1:5" x14ac:dyDescent="0.25">
      <c r="A6164" s="5">
        <f>6156</f>
      </c>
      <c r="B6164" s="5" t="s">
        <v>5406</v>
      </c>
      <c r="C6164" s="5" t="s">
        <v>11</v>
      </c>
      <c r="D6164" s="5" t="s">
        <v>12</v>
      </c>
      <c r="E6164" s="5" t="s">
        <v>3962</v>
      </c>
    </row>
    <row r="6165" spans="1:5" x14ac:dyDescent="0.25">
      <c r="A6165" s="5">
        <f>6157</f>
      </c>
      <c r="B6165" s="5" t="s">
        <v>5407</v>
      </c>
      <c r="C6165" s="5" t="s">
        <v>11</v>
      </c>
      <c r="D6165" s="5" t="s">
        <v>12</v>
      </c>
      <c r="E6165" s="5" t="s">
        <v>3962</v>
      </c>
    </row>
    <row r="6166" spans="1:5" x14ac:dyDescent="0.25">
      <c r="A6166" s="5">
        <f>6158</f>
      </c>
      <c r="B6166" s="5" t="s">
        <v>5408</v>
      </c>
      <c r="C6166" s="5" t="s">
        <v>11</v>
      </c>
      <c r="D6166" s="5" t="s">
        <v>12</v>
      </c>
      <c r="E6166" s="5" t="s">
        <v>3962</v>
      </c>
    </row>
    <row r="6167" spans="1:5" x14ac:dyDescent="0.25">
      <c r="A6167" s="5">
        <f>6159</f>
      </c>
      <c r="B6167" s="5" t="s">
        <v>5409</v>
      </c>
      <c r="C6167" s="5" t="s">
        <v>11</v>
      </c>
      <c r="D6167" s="5" t="s">
        <v>12</v>
      </c>
      <c r="E6167" s="5" t="s">
        <v>3962</v>
      </c>
    </row>
    <row r="6168" spans="1:5" x14ac:dyDescent="0.25">
      <c r="A6168" s="5">
        <f>6160</f>
      </c>
      <c r="B6168" s="5" t="s">
        <v>5410</v>
      </c>
      <c r="C6168" s="5" t="s">
        <v>11</v>
      </c>
      <c r="D6168" s="5" t="s">
        <v>12</v>
      </c>
      <c r="E6168" s="5" t="s">
        <v>3962</v>
      </c>
    </row>
    <row r="6169" spans="1:5" x14ac:dyDescent="0.25">
      <c r="A6169" s="5">
        <f>6161</f>
      </c>
      <c r="B6169" s="5" t="s">
        <v>5411</v>
      </c>
      <c r="C6169" s="5" t="s">
        <v>11</v>
      </c>
      <c r="D6169" s="5" t="s">
        <v>12</v>
      </c>
      <c r="E6169" s="5" t="s">
        <v>3962</v>
      </c>
    </row>
    <row r="6170" spans="1:5" x14ac:dyDescent="0.25">
      <c r="A6170" s="5">
        <f>6162</f>
      </c>
      <c r="B6170" s="5" t="s">
        <v>5412</v>
      </c>
      <c r="C6170" s="5" t="s">
        <v>11</v>
      </c>
      <c r="D6170" s="5" t="s">
        <v>12</v>
      </c>
      <c r="E6170" s="5" t="s">
        <v>3962</v>
      </c>
    </row>
    <row r="6171" spans="1:5" x14ac:dyDescent="0.25">
      <c r="A6171" s="5">
        <f>6163</f>
      </c>
      <c r="B6171" s="5" t="s">
        <v>5413</v>
      </c>
      <c r="C6171" s="5" t="s">
        <v>11</v>
      </c>
      <c r="D6171" s="5" t="s">
        <v>12</v>
      </c>
      <c r="E6171" s="5" t="s">
        <v>3962</v>
      </c>
    </row>
    <row r="6172" spans="1:5" x14ac:dyDescent="0.25">
      <c r="A6172" s="5">
        <f>6164</f>
      </c>
      <c r="B6172" s="5" t="s">
        <v>5414</v>
      </c>
      <c r="C6172" s="5" t="s">
        <v>11</v>
      </c>
      <c r="D6172" s="5" t="s">
        <v>12</v>
      </c>
      <c r="E6172" s="5" t="s">
        <v>3962</v>
      </c>
    </row>
    <row r="6173" spans="1:5" x14ac:dyDescent="0.25">
      <c r="A6173" s="5">
        <f>6165</f>
      </c>
      <c r="B6173" s="5" t="s">
        <v>5415</v>
      </c>
      <c r="C6173" s="5" t="s">
        <v>11</v>
      </c>
      <c r="D6173" s="5" t="s">
        <v>12</v>
      </c>
      <c r="E6173" s="5" t="s">
        <v>3962</v>
      </c>
    </row>
    <row r="6174" spans="1:5" x14ac:dyDescent="0.25">
      <c r="A6174" s="5">
        <f>6166</f>
      </c>
      <c r="B6174" s="5" t="s">
        <v>5416</v>
      </c>
      <c r="C6174" s="5" t="s">
        <v>11</v>
      </c>
      <c r="D6174" s="5" t="s">
        <v>12</v>
      </c>
      <c r="E6174" s="5" t="s">
        <v>3962</v>
      </c>
    </row>
    <row r="6175" spans="1:5" x14ac:dyDescent="0.25">
      <c r="A6175" s="5">
        <f>6167</f>
      </c>
      <c r="B6175" s="5" t="s">
        <v>5417</v>
      </c>
      <c r="C6175" s="5" t="s">
        <v>11</v>
      </c>
      <c r="D6175" s="5" t="s">
        <v>12</v>
      </c>
      <c r="E6175" s="5" t="s">
        <v>3962</v>
      </c>
    </row>
    <row r="6176" spans="1:5" x14ac:dyDescent="0.25">
      <c r="A6176" s="5">
        <f>6168</f>
      </c>
      <c r="B6176" s="5" t="s">
        <v>5418</v>
      </c>
      <c r="C6176" s="5" t="s">
        <v>11</v>
      </c>
      <c r="D6176" s="5" t="s">
        <v>12</v>
      </c>
      <c r="E6176" s="5" t="s">
        <v>3962</v>
      </c>
    </row>
    <row r="6177" spans="1:5" x14ac:dyDescent="0.25">
      <c r="A6177" s="5">
        <f>6169</f>
      </c>
      <c r="B6177" s="5" t="s">
        <v>5419</v>
      </c>
      <c r="C6177" s="5" t="s">
        <v>11</v>
      </c>
      <c r="D6177" s="5" t="s">
        <v>12</v>
      </c>
      <c r="E6177" s="5" t="s">
        <v>3962</v>
      </c>
    </row>
    <row r="6178" spans="1:5" x14ac:dyDescent="0.25">
      <c r="A6178" s="5">
        <f>6170</f>
      </c>
      <c r="B6178" s="5" t="s">
        <v>5420</v>
      </c>
      <c r="C6178" s="5" t="s">
        <v>11</v>
      </c>
      <c r="D6178" s="5" t="s">
        <v>12</v>
      </c>
      <c r="E6178" s="5" t="s">
        <v>3962</v>
      </c>
    </row>
    <row r="6179" spans="1:5" x14ac:dyDescent="0.25">
      <c r="A6179" s="5">
        <f>6171</f>
      </c>
      <c r="B6179" s="5" t="s">
        <v>5421</v>
      </c>
      <c r="C6179" s="5" t="s">
        <v>11</v>
      </c>
      <c r="D6179" s="5" t="s">
        <v>12</v>
      </c>
      <c r="E6179" s="5" t="s">
        <v>3962</v>
      </c>
    </row>
    <row r="6180" spans="1:5" x14ac:dyDescent="0.25">
      <c r="A6180" s="5">
        <f>6172</f>
      </c>
      <c r="B6180" s="5" t="s">
        <v>5422</v>
      </c>
      <c r="C6180" s="5" t="s">
        <v>11</v>
      </c>
      <c r="D6180" s="5" t="s">
        <v>12</v>
      </c>
      <c r="E6180" s="5" t="s">
        <v>3962</v>
      </c>
    </row>
    <row r="6181" spans="1:5" x14ac:dyDescent="0.25">
      <c r="A6181" s="5">
        <f>6173</f>
      </c>
      <c r="B6181" s="5" t="s">
        <v>5423</v>
      </c>
      <c r="C6181" s="5" t="s">
        <v>11</v>
      </c>
      <c r="D6181" s="5" t="s">
        <v>12</v>
      </c>
      <c r="E6181" s="5" t="s">
        <v>3962</v>
      </c>
    </row>
    <row r="6182" spans="1:5" x14ac:dyDescent="0.25">
      <c r="A6182" s="5">
        <f>6174</f>
      </c>
      <c r="B6182" s="5" t="s">
        <v>5424</v>
      </c>
      <c r="C6182" s="5" t="s">
        <v>11</v>
      </c>
      <c r="D6182" s="5" t="s">
        <v>12</v>
      </c>
      <c r="E6182" s="5" t="s">
        <v>3962</v>
      </c>
    </row>
    <row r="6183" spans="1:5" x14ac:dyDescent="0.25">
      <c r="A6183" s="5">
        <f>6175</f>
      </c>
      <c r="B6183" s="5" t="s">
        <v>5425</v>
      </c>
      <c r="C6183" s="5" t="s">
        <v>11</v>
      </c>
      <c r="D6183" s="5" t="s">
        <v>12</v>
      </c>
      <c r="E6183" s="5" t="s">
        <v>3962</v>
      </c>
    </row>
    <row r="6184" spans="1:5" x14ac:dyDescent="0.25">
      <c r="A6184" s="5">
        <f>6176</f>
      </c>
      <c r="B6184" s="5" t="s">
        <v>5426</v>
      </c>
      <c r="C6184" s="5" t="s">
        <v>11</v>
      </c>
      <c r="D6184" s="5" t="s">
        <v>12</v>
      </c>
      <c r="E6184" s="5" t="s">
        <v>3962</v>
      </c>
    </row>
    <row r="6185" spans="1:5" x14ac:dyDescent="0.25">
      <c r="A6185" s="5">
        <f>6177</f>
      </c>
      <c r="B6185" s="5" t="s">
        <v>5427</v>
      </c>
      <c r="C6185" s="5" t="s">
        <v>11</v>
      </c>
      <c r="D6185" s="5" t="s">
        <v>12</v>
      </c>
      <c r="E6185" s="5" t="s">
        <v>3962</v>
      </c>
    </row>
    <row r="6186" spans="1:5" x14ac:dyDescent="0.25">
      <c r="A6186" s="5">
        <f>6178</f>
      </c>
      <c r="B6186" s="5" t="s">
        <v>5428</v>
      </c>
      <c r="C6186" s="5" t="s">
        <v>11</v>
      </c>
      <c r="D6186" s="5" t="s">
        <v>12</v>
      </c>
      <c r="E6186" s="5" t="s">
        <v>3962</v>
      </c>
    </row>
    <row r="6187" spans="1:5" x14ac:dyDescent="0.25">
      <c r="A6187" s="5">
        <f>6179</f>
      </c>
      <c r="B6187" s="5" t="s">
        <v>5429</v>
      </c>
      <c r="C6187" s="5" t="s">
        <v>11</v>
      </c>
      <c r="D6187" s="5" t="s">
        <v>12</v>
      </c>
      <c r="E6187" s="5" t="s">
        <v>3962</v>
      </c>
    </row>
    <row r="6188" spans="1:5" x14ac:dyDescent="0.25">
      <c r="A6188" s="5">
        <f>6180</f>
      </c>
      <c r="B6188" s="5" t="s">
        <v>5430</v>
      </c>
      <c r="C6188" s="5" t="s">
        <v>11</v>
      </c>
      <c r="D6188" s="5" t="s">
        <v>12</v>
      </c>
      <c r="E6188" s="5" t="s">
        <v>3962</v>
      </c>
    </row>
    <row r="6189" spans="1:5" x14ac:dyDescent="0.25">
      <c r="A6189" s="5">
        <f>6181</f>
      </c>
      <c r="B6189" s="5" t="s">
        <v>5431</v>
      </c>
      <c r="C6189" s="5" t="s">
        <v>11</v>
      </c>
      <c r="D6189" s="5" t="s">
        <v>12</v>
      </c>
      <c r="E6189" s="5" t="s">
        <v>3962</v>
      </c>
    </row>
    <row r="6190" spans="1:5" x14ac:dyDescent="0.25">
      <c r="A6190" s="5">
        <f>6182</f>
      </c>
      <c r="B6190" s="5" t="s">
        <v>5432</v>
      </c>
      <c r="C6190" s="5" t="s">
        <v>11</v>
      </c>
      <c r="D6190" s="5" t="s">
        <v>12</v>
      </c>
      <c r="E6190" s="5" t="s">
        <v>3962</v>
      </c>
    </row>
    <row r="6191" spans="1:5" x14ac:dyDescent="0.25">
      <c r="A6191" s="5">
        <f>6183</f>
      </c>
      <c r="B6191" s="5" t="s">
        <v>5433</v>
      </c>
      <c r="C6191" s="5" t="s">
        <v>11</v>
      </c>
      <c r="D6191" s="5" t="s">
        <v>12</v>
      </c>
      <c r="E6191" s="5" t="s">
        <v>3962</v>
      </c>
    </row>
    <row r="6192" spans="1:5" x14ac:dyDescent="0.25">
      <c r="A6192" s="5">
        <f>6184</f>
      </c>
      <c r="B6192" s="5" t="s">
        <v>5434</v>
      </c>
      <c r="C6192" s="5" t="s">
        <v>11</v>
      </c>
      <c r="D6192" s="5" t="s">
        <v>12</v>
      </c>
      <c r="E6192" s="5" t="s">
        <v>3962</v>
      </c>
    </row>
    <row r="6193" spans="1:5" x14ac:dyDescent="0.25">
      <c r="A6193" s="5">
        <f>6185</f>
      </c>
      <c r="B6193" s="5" t="s">
        <v>5435</v>
      </c>
      <c r="C6193" s="5" t="s">
        <v>11</v>
      </c>
      <c r="D6193" s="5" t="s">
        <v>12</v>
      </c>
      <c r="E6193" s="5" t="s">
        <v>3962</v>
      </c>
    </row>
    <row r="6194" spans="1:5" x14ac:dyDescent="0.25">
      <c r="A6194" s="5">
        <f>6186</f>
      </c>
      <c r="B6194" s="5" t="s">
        <v>5436</v>
      </c>
      <c r="C6194" s="5" t="s">
        <v>11</v>
      </c>
      <c r="D6194" s="5" t="s">
        <v>12</v>
      </c>
      <c r="E6194" s="5" t="s">
        <v>3962</v>
      </c>
    </row>
    <row r="6195" spans="1:5" x14ac:dyDescent="0.25">
      <c r="A6195" s="5">
        <f>6187</f>
      </c>
      <c r="B6195" s="5" t="s">
        <v>5437</v>
      </c>
      <c r="C6195" s="5" t="s">
        <v>11</v>
      </c>
      <c r="D6195" s="5" t="s">
        <v>12</v>
      </c>
      <c r="E6195" s="5" t="s">
        <v>3962</v>
      </c>
    </row>
    <row r="6196" spans="1:5" x14ac:dyDescent="0.25">
      <c r="A6196" s="5">
        <f>6188</f>
      </c>
      <c r="B6196" s="5" t="s">
        <v>5438</v>
      </c>
      <c r="C6196" s="5" t="s">
        <v>11</v>
      </c>
      <c r="D6196" s="5" t="s">
        <v>12</v>
      </c>
      <c r="E6196" s="5" t="s">
        <v>3962</v>
      </c>
    </row>
    <row r="6197" spans="1:5" x14ac:dyDescent="0.25">
      <c r="A6197" s="5">
        <f>6189</f>
      </c>
      <c r="B6197" s="5" t="s">
        <v>5439</v>
      </c>
      <c r="C6197" s="5" t="s">
        <v>11</v>
      </c>
      <c r="D6197" s="5" t="s">
        <v>12</v>
      </c>
      <c r="E6197" s="5" t="s">
        <v>3962</v>
      </c>
    </row>
    <row r="6198" spans="1:5" x14ac:dyDescent="0.25">
      <c r="A6198" s="5">
        <f>6190</f>
      </c>
      <c r="B6198" s="5" t="s">
        <v>5440</v>
      </c>
      <c r="C6198" s="5" t="s">
        <v>11</v>
      </c>
      <c r="D6198" s="5" t="s">
        <v>12</v>
      </c>
      <c r="E6198" s="5" t="s">
        <v>3962</v>
      </c>
    </row>
    <row r="6199" spans="1:5" x14ac:dyDescent="0.25">
      <c r="A6199" s="5">
        <f>6191</f>
      </c>
      <c r="B6199" s="5" t="s">
        <v>5441</v>
      </c>
      <c r="C6199" s="5" t="s">
        <v>11</v>
      </c>
      <c r="D6199" s="5" t="s">
        <v>12</v>
      </c>
      <c r="E6199" s="5" t="s">
        <v>3962</v>
      </c>
    </row>
    <row r="6200" spans="1:5" x14ac:dyDescent="0.25">
      <c r="A6200" s="5">
        <f>6192</f>
      </c>
      <c r="B6200" s="5" t="s">
        <v>5442</v>
      </c>
      <c r="C6200" s="5" t="s">
        <v>11</v>
      </c>
      <c r="D6200" s="5" t="s">
        <v>12</v>
      </c>
      <c r="E6200" s="5" t="s">
        <v>3962</v>
      </c>
    </row>
    <row r="6201" spans="1:5" x14ac:dyDescent="0.25">
      <c r="A6201" s="5">
        <f>6193</f>
      </c>
      <c r="B6201" s="5" t="s">
        <v>5443</v>
      </c>
      <c r="C6201" s="5" t="s">
        <v>11</v>
      </c>
      <c r="D6201" s="5" t="s">
        <v>12</v>
      </c>
      <c r="E6201" s="5" t="s">
        <v>3962</v>
      </c>
    </row>
    <row r="6202" spans="1:5" x14ac:dyDescent="0.25">
      <c r="A6202" s="5">
        <f>6194</f>
      </c>
      <c r="B6202" s="5" t="s">
        <v>5444</v>
      </c>
      <c r="C6202" s="5" t="s">
        <v>11</v>
      </c>
      <c r="D6202" s="5" t="s">
        <v>12</v>
      </c>
      <c r="E6202" s="5" t="s">
        <v>3962</v>
      </c>
    </row>
    <row r="6203" spans="1:5" x14ac:dyDescent="0.25">
      <c r="A6203" s="5">
        <f>6195</f>
      </c>
      <c r="B6203" s="5" t="s">
        <v>5445</v>
      </c>
      <c r="C6203" s="5" t="s">
        <v>11</v>
      </c>
      <c r="D6203" s="5" t="s">
        <v>12</v>
      </c>
      <c r="E6203" s="5" t="s">
        <v>3962</v>
      </c>
    </row>
    <row r="6204" spans="1:5" x14ac:dyDescent="0.25">
      <c r="A6204" s="5">
        <f>6196</f>
      </c>
      <c r="B6204" s="5" t="s">
        <v>5446</v>
      </c>
      <c r="C6204" s="5" t="s">
        <v>11</v>
      </c>
      <c r="D6204" s="5" t="s">
        <v>12</v>
      </c>
      <c r="E6204" s="5" t="s">
        <v>3962</v>
      </c>
    </row>
    <row r="6205" spans="1:5" x14ac:dyDescent="0.25">
      <c r="A6205" s="5">
        <f>6197</f>
      </c>
      <c r="B6205" s="5" t="s">
        <v>5447</v>
      </c>
      <c r="C6205" s="5" t="s">
        <v>11</v>
      </c>
      <c r="D6205" s="5" t="s">
        <v>12</v>
      </c>
      <c r="E6205" s="5" t="s">
        <v>3962</v>
      </c>
    </row>
    <row r="6206" spans="1:5" x14ac:dyDescent="0.25">
      <c r="A6206" s="5">
        <f>6198</f>
      </c>
      <c r="B6206" s="5" t="s">
        <v>5448</v>
      </c>
      <c r="C6206" s="5" t="s">
        <v>11</v>
      </c>
      <c r="D6206" s="5" t="s">
        <v>12</v>
      </c>
      <c r="E6206" s="5" t="s">
        <v>3962</v>
      </c>
    </row>
    <row r="6207" spans="1:5" x14ac:dyDescent="0.25">
      <c r="A6207" s="5">
        <f>6199</f>
      </c>
      <c r="B6207" s="5" t="s">
        <v>5449</v>
      </c>
      <c r="C6207" s="5" t="s">
        <v>11</v>
      </c>
      <c r="D6207" s="5" t="s">
        <v>12</v>
      </c>
      <c r="E6207" s="5" t="s">
        <v>3962</v>
      </c>
    </row>
    <row r="6208" spans="1:5" x14ac:dyDescent="0.25">
      <c r="A6208" s="5">
        <f>6200</f>
      </c>
      <c r="B6208" s="5" t="s">
        <v>5450</v>
      </c>
      <c r="C6208" s="5" t="s">
        <v>11</v>
      </c>
      <c r="D6208" s="5" t="s">
        <v>12</v>
      </c>
      <c r="E6208" s="5" t="s">
        <v>3962</v>
      </c>
    </row>
    <row r="6209" spans="1:5" x14ac:dyDescent="0.25">
      <c r="A6209" s="5">
        <f>6201</f>
      </c>
      <c r="B6209" s="5" t="s">
        <v>5451</v>
      </c>
      <c r="C6209" s="5" t="s">
        <v>11</v>
      </c>
      <c r="D6209" s="5" t="s">
        <v>12</v>
      </c>
      <c r="E6209" s="5" t="s">
        <v>3962</v>
      </c>
    </row>
    <row r="6210" spans="1:5" x14ac:dyDescent="0.25">
      <c r="A6210" s="5">
        <f>6202</f>
      </c>
      <c r="B6210" s="5" t="s">
        <v>5452</v>
      </c>
      <c r="C6210" s="5" t="s">
        <v>11</v>
      </c>
      <c r="D6210" s="5" t="s">
        <v>12</v>
      </c>
      <c r="E6210" s="5" t="s">
        <v>3962</v>
      </c>
    </row>
    <row r="6211" spans="1:5" x14ac:dyDescent="0.25">
      <c r="A6211" s="5">
        <f>6203</f>
      </c>
      <c r="B6211" s="5" t="s">
        <v>5453</v>
      </c>
      <c r="C6211" s="5" t="s">
        <v>11</v>
      </c>
      <c r="D6211" s="5" t="s">
        <v>12</v>
      </c>
      <c r="E6211" s="5" t="s">
        <v>3962</v>
      </c>
    </row>
    <row r="6212" spans="1:5" x14ac:dyDescent="0.25">
      <c r="A6212" s="5">
        <f>6204</f>
      </c>
      <c r="B6212" s="5" t="s">
        <v>5454</v>
      </c>
      <c r="C6212" s="5" t="s">
        <v>11</v>
      </c>
      <c r="D6212" s="5" t="s">
        <v>12</v>
      </c>
      <c r="E6212" s="5" t="s">
        <v>3962</v>
      </c>
    </row>
    <row r="6213" spans="1:5" x14ac:dyDescent="0.25">
      <c r="A6213" s="5">
        <f>6205</f>
      </c>
      <c r="B6213" s="5" t="s">
        <v>5455</v>
      </c>
      <c r="C6213" s="5" t="s">
        <v>11</v>
      </c>
      <c r="D6213" s="5" t="s">
        <v>12</v>
      </c>
      <c r="E6213" s="5" t="s">
        <v>3962</v>
      </c>
    </row>
    <row r="6214" spans="1:5" x14ac:dyDescent="0.25">
      <c r="A6214" s="5">
        <f>6206</f>
      </c>
      <c r="B6214" s="5" t="s">
        <v>5456</v>
      </c>
      <c r="C6214" s="5" t="s">
        <v>11</v>
      </c>
      <c r="D6214" s="5" t="s">
        <v>12</v>
      </c>
      <c r="E6214" s="5" t="s">
        <v>3962</v>
      </c>
    </row>
    <row r="6215" spans="1:5" x14ac:dyDescent="0.25">
      <c r="A6215" s="5">
        <f>6207</f>
      </c>
      <c r="B6215" s="5" t="s">
        <v>5457</v>
      </c>
      <c r="C6215" s="5" t="s">
        <v>11</v>
      </c>
      <c r="D6215" s="5" t="s">
        <v>12</v>
      </c>
      <c r="E6215" s="5" t="s">
        <v>3962</v>
      </c>
    </row>
    <row r="6216" spans="1:5" x14ac:dyDescent="0.25">
      <c r="A6216" s="5">
        <f>6208</f>
      </c>
      <c r="B6216" s="5" t="s">
        <v>5458</v>
      </c>
      <c r="C6216" s="5" t="s">
        <v>11</v>
      </c>
      <c r="D6216" s="5" t="s">
        <v>12</v>
      </c>
      <c r="E6216" s="5" t="s">
        <v>3962</v>
      </c>
    </row>
    <row r="6217" spans="1:5" x14ac:dyDescent="0.25">
      <c r="A6217" s="5">
        <f>6209</f>
      </c>
      <c r="B6217" s="5" t="s">
        <v>5459</v>
      </c>
      <c r="C6217" s="5" t="s">
        <v>11</v>
      </c>
      <c r="D6217" s="5" t="s">
        <v>12</v>
      </c>
      <c r="E6217" s="5" t="s">
        <v>3962</v>
      </c>
    </row>
    <row r="6218" spans="1:5" x14ac:dyDescent="0.25">
      <c r="A6218" s="5">
        <f>6210</f>
      </c>
      <c r="B6218" s="5" t="s">
        <v>5460</v>
      </c>
      <c r="C6218" s="5" t="s">
        <v>11</v>
      </c>
      <c r="D6218" s="5" t="s">
        <v>12</v>
      </c>
      <c r="E6218" s="5" t="s">
        <v>3962</v>
      </c>
    </row>
    <row r="6219" spans="1:5" x14ac:dyDescent="0.25">
      <c r="A6219" s="5">
        <f>6211</f>
      </c>
      <c r="B6219" s="5" t="s">
        <v>5461</v>
      </c>
      <c r="C6219" s="5" t="s">
        <v>11</v>
      </c>
      <c r="D6219" s="5" t="s">
        <v>12</v>
      </c>
      <c r="E6219" s="5" t="s">
        <v>3962</v>
      </c>
    </row>
    <row r="6220" spans="1:5" x14ac:dyDescent="0.25">
      <c r="A6220" s="5">
        <f>6212</f>
      </c>
      <c r="B6220" s="5" t="s">
        <v>5462</v>
      </c>
      <c r="C6220" s="5" t="s">
        <v>11</v>
      </c>
      <c r="D6220" s="5" t="s">
        <v>12</v>
      </c>
      <c r="E6220" s="5" t="s">
        <v>3962</v>
      </c>
    </row>
    <row r="6221" spans="1:5" x14ac:dyDescent="0.25">
      <c r="A6221" s="5">
        <f>6213</f>
      </c>
      <c r="B6221" s="5" t="s">
        <v>5463</v>
      </c>
      <c r="C6221" s="5" t="s">
        <v>11</v>
      </c>
      <c r="D6221" s="5" t="s">
        <v>12</v>
      </c>
      <c r="E6221" s="5" t="s">
        <v>3962</v>
      </c>
    </row>
    <row r="6222" spans="1:5" x14ac:dyDescent="0.25">
      <c r="A6222" s="5">
        <f>6214</f>
      </c>
      <c r="B6222" s="5" t="s">
        <v>5464</v>
      </c>
      <c r="C6222" s="5" t="s">
        <v>11</v>
      </c>
      <c r="D6222" s="5" t="s">
        <v>12</v>
      </c>
      <c r="E6222" s="5" t="s">
        <v>3962</v>
      </c>
    </row>
    <row r="6223" spans="1:5" x14ac:dyDescent="0.25">
      <c r="A6223" s="5">
        <f>6215</f>
      </c>
      <c r="B6223" s="5" t="s">
        <v>5465</v>
      </c>
      <c r="C6223" s="5" t="s">
        <v>11</v>
      </c>
      <c r="D6223" s="5" t="s">
        <v>12</v>
      </c>
      <c r="E6223" s="5" t="s">
        <v>3962</v>
      </c>
    </row>
    <row r="6224" spans="1:5" x14ac:dyDescent="0.25">
      <c r="A6224" s="5">
        <f>6216</f>
      </c>
      <c r="B6224" s="5" t="s">
        <v>5466</v>
      </c>
      <c r="C6224" s="5" t="s">
        <v>11</v>
      </c>
      <c r="D6224" s="5" t="s">
        <v>12</v>
      </c>
      <c r="E6224" s="5" t="s">
        <v>3962</v>
      </c>
    </row>
    <row r="6225" spans="1:5" x14ac:dyDescent="0.25">
      <c r="A6225" s="5">
        <f>6217</f>
      </c>
      <c r="B6225" s="5" t="s">
        <v>5467</v>
      </c>
      <c r="C6225" s="5" t="s">
        <v>11</v>
      </c>
      <c r="D6225" s="5" t="s">
        <v>12</v>
      </c>
      <c r="E6225" s="5" t="s">
        <v>3962</v>
      </c>
    </row>
    <row r="6226" spans="1:5" x14ac:dyDescent="0.25">
      <c r="A6226" s="5">
        <f>6218</f>
      </c>
      <c r="B6226" s="5" t="s">
        <v>5468</v>
      </c>
      <c r="C6226" s="5" t="s">
        <v>11</v>
      </c>
      <c r="D6226" s="5" t="s">
        <v>12</v>
      </c>
      <c r="E6226" s="5" t="s">
        <v>3962</v>
      </c>
    </row>
    <row r="6227" spans="1:5" x14ac:dyDescent="0.25">
      <c r="A6227" s="5">
        <f>6219</f>
      </c>
      <c r="B6227" s="5" t="s">
        <v>5469</v>
      </c>
      <c r="C6227" s="5" t="s">
        <v>11</v>
      </c>
      <c r="D6227" s="5" t="s">
        <v>12</v>
      </c>
      <c r="E6227" s="5" t="s">
        <v>3962</v>
      </c>
    </row>
    <row r="6228" spans="1:5" x14ac:dyDescent="0.25">
      <c r="A6228" s="5">
        <f>6220</f>
      </c>
      <c r="B6228" s="5" t="s">
        <v>5470</v>
      </c>
      <c r="C6228" s="5" t="s">
        <v>11</v>
      </c>
      <c r="D6228" s="5" t="s">
        <v>12</v>
      </c>
      <c r="E6228" s="5" t="s">
        <v>3962</v>
      </c>
    </row>
    <row r="6229" spans="1:5" x14ac:dyDescent="0.25">
      <c r="A6229" s="5">
        <f>6221</f>
      </c>
      <c r="B6229" s="5" t="s">
        <v>5471</v>
      </c>
      <c r="C6229" s="5" t="s">
        <v>11</v>
      </c>
      <c r="D6229" s="5" t="s">
        <v>12</v>
      </c>
      <c r="E6229" s="5" t="s">
        <v>3962</v>
      </c>
    </row>
    <row r="6230" spans="1:5" x14ac:dyDescent="0.25">
      <c r="A6230" s="5">
        <f>6222</f>
      </c>
      <c r="B6230" s="5" t="s">
        <v>5472</v>
      </c>
      <c r="C6230" s="5" t="s">
        <v>11</v>
      </c>
      <c r="D6230" s="5" t="s">
        <v>12</v>
      </c>
      <c r="E6230" s="5" t="s">
        <v>3962</v>
      </c>
    </row>
    <row r="6231" spans="1:5" x14ac:dyDescent="0.25">
      <c r="A6231" s="5">
        <f>6223</f>
      </c>
      <c r="B6231" s="5" t="s">
        <v>5473</v>
      </c>
      <c r="C6231" s="5" t="s">
        <v>11</v>
      </c>
      <c r="D6231" s="5" t="s">
        <v>12</v>
      </c>
      <c r="E6231" s="5" t="s">
        <v>3962</v>
      </c>
    </row>
    <row r="6232" spans="1:5" x14ac:dyDescent="0.25">
      <c r="A6232" s="5">
        <f>6224</f>
      </c>
      <c r="B6232" s="5" t="s">
        <v>5474</v>
      </c>
      <c r="C6232" s="5" t="s">
        <v>11</v>
      </c>
      <c r="D6232" s="5" t="s">
        <v>12</v>
      </c>
      <c r="E6232" s="5" t="s">
        <v>3962</v>
      </c>
    </row>
    <row r="6233" spans="1:5" x14ac:dyDescent="0.25">
      <c r="A6233" s="5">
        <f>6225</f>
      </c>
      <c r="B6233" s="5" t="s">
        <v>5475</v>
      </c>
      <c r="C6233" s="5" t="s">
        <v>11</v>
      </c>
      <c r="D6233" s="5" t="s">
        <v>12</v>
      </c>
      <c r="E6233" s="5" t="s">
        <v>3962</v>
      </c>
    </row>
    <row r="6234" spans="1:5" x14ac:dyDescent="0.25">
      <c r="A6234" s="5">
        <f>6226</f>
      </c>
      <c r="B6234" s="5" t="s">
        <v>5476</v>
      </c>
      <c r="C6234" s="5" t="s">
        <v>11</v>
      </c>
      <c r="D6234" s="5" t="s">
        <v>12</v>
      </c>
      <c r="E6234" s="5" t="s">
        <v>3962</v>
      </c>
    </row>
    <row r="6235" spans="1:5" x14ac:dyDescent="0.25">
      <c r="A6235" s="5">
        <f>6227</f>
      </c>
      <c r="B6235" s="5" t="s">
        <v>5477</v>
      </c>
      <c r="C6235" s="5" t="s">
        <v>11</v>
      </c>
      <c r="D6235" s="5" t="s">
        <v>12</v>
      </c>
      <c r="E6235" s="5" t="s">
        <v>3962</v>
      </c>
    </row>
    <row r="6236" spans="1:5" x14ac:dyDescent="0.25">
      <c r="A6236" s="5">
        <f>6228</f>
      </c>
      <c r="B6236" s="5" t="s">
        <v>5478</v>
      </c>
      <c r="C6236" s="5" t="s">
        <v>11</v>
      </c>
      <c r="D6236" s="5" t="s">
        <v>12</v>
      </c>
      <c r="E6236" s="5" t="s">
        <v>3962</v>
      </c>
    </row>
    <row r="6237" spans="1:5" x14ac:dyDescent="0.25">
      <c r="A6237" s="5">
        <f>6229</f>
      </c>
      <c r="B6237" s="5" t="s">
        <v>5479</v>
      </c>
      <c r="C6237" s="5" t="s">
        <v>11</v>
      </c>
      <c r="D6237" s="5" t="s">
        <v>12</v>
      </c>
      <c r="E6237" s="5" t="s">
        <v>3962</v>
      </c>
    </row>
    <row r="6238" spans="1:5" x14ac:dyDescent="0.25">
      <c r="A6238" s="5">
        <f>6230</f>
      </c>
      <c r="B6238" s="5" t="s">
        <v>5480</v>
      </c>
      <c r="C6238" s="5" t="s">
        <v>11</v>
      </c>
      <c r="D6238" s="5" t="s">
        <v>12</v>
      </c>
      <c r="E6238" s="5" t="s">
        <v>3962</v>
      </c>
    </row>
    <row r="6239" spans="1:5" x14ac:dyDescent="0.25">
      <c r="A6239" s="5">
        <f>6231</f>
      </c>
      <c r="B6239" s="5" t="s">
        <v>5481</v>
      </c>
      <c r="C6239" s="5" t="s">
        <v>11</v>
      </c>
      <c r="D6239" s="5" t="s">
        <v>12</v>
      </c>
      <c r="E6239" s="5" t="s">
        <v>3962</v>
      </c>
    </row>
    <row r="6240" spans="1:5" x14ac:dyDescent="0.25">
      <c r="A6240" s="5">
        <f>6232</f>
      </c>
      <c r="B6240" s="5" t="s">
        <v>5482</v>
      </c>
      <c r="C6240" s="5" t="s">
        <v>11</v>
      </c>
      <c r="D6240" s="5" t="s">
        <v>12</v>
      </c>
      <c r="E6240" s="5" t="s">
        <v>3962</v>
      </c>
    </row>
    <row r="6241" spans="1:5" x14ac:dyDescent="0.25">
      <c r="A6241" s="5">
        <f>6233</f>
      </c>
      <c r="B6241" s="5" t="s">
        <v>5483</v>
      </c>
      <c r="C6241" s="5" t="s">
        <v>11</v>
      </c>
      <c r="D6241" s="5" t="s">
        <v>12</v>
      </c>
      <c r="E6241" s="5" t="s">
        <v>3962</v>
      </c>
    </row>
    <row r="6242" spans="1:5" x14ac:dyDescent="0.25">
      <c r="A6242" s="5">
        <f>6234</f>
      </c>
      <c r="B6242" s="5" t="s">
        <v>5484</v>
      </c>
      <c r="C6242" s="5" t="s">
        <v>11</v>
      </c>
      <c r="D6242" s="5" t="s">
        <v>12</v>
      </c>
      <c r="E6242" s="5" t="s">
        <v>3962</v>
      </c>
    </row>
    <row r="6243" spans="1:5" x14ac:dyDescent="0.25">
      <c r="A6243" s="5">
        <f>6235</f>
      </c>
      <c r="B6243" s="5" t="s">
        <v>5485</v>
      </c>
      <c r="C6243" s="5" t="s">
        <v>11</v>
      </c>
      <c r="D6243" s="5" t="s">
        <v>12</v>
      </c>
      <c r="E6243" s="5" t="s">
        <v>3962</v>
      </c>
    </row>
    <row r="6244" spans="1:5" x14ac:dyDescent="0.25">
      <c r="A6244" s="5">
        <f>6236</f>
      </c>
      <c r="B6244" s="5" t="s">
        <v>5486</v>
      </c>
      <c r="C6244" s="5" t="s">
        <v>11</v>
      </c>
      <c r="D6244" s="5" t="s">
        <v>12</v>
      </c>
      <c r="E6244" s="5" t="s">
        <v>3962</v>
      </c>
    </row>
    <row r="6245" spans="1:5" x14ac:dyDescent="0.25">
      <c r="A6245" s="5">
        <f>6237</f>
      </c>
      <c r="B6245" s="5" t="s">
        <v>5487</v>
      </c>
      <c r="C6245" s="5" t="s">
        <v>11</v>
      </c>
      <c r="D6245" s="5" t="s">
        <v>12</v>
      </c>
      <c r="E6245" s="5" t="s">
        <v>3962</v>
      </c>
    </row>
    <row r="6246" spans="1:5" x14ac:dyDescent="0.25">
      <c r="A6246" s="5">
        <f>6238</f>
      </c>
      <c r="B6246" s="5" t="s">
        <v>5488</v>
      </c>
      <c r="C6246" s="5" t="s">
        <v>11</v>
      </c>
      <c r="D6246" s="5" t="s">
        <v>12</v>
      </c>
      <c r="E6246" s="5" t="s">
        <v>3962</v>
      </c>
    </row>
    <row r="6247" spans="1:5" x14ac:dyDescent="0.25">
      <c r="A6247" s="5">
        <f>6239</f>
      </c>
      <c r="B6247" s="5" t="s">
        <v>5489</v>
      </c>
      <c r="C6247" s="5" t="s">
        <v>11</v>
      </c>
      <c r="D6247" s="5" t="s">
        <v>12</v>
      </c>
      <c r="E6247" s="5" t="s">
        <v>3962</v>
      </c>
    </row>
    <row r="6248" spans="1:5" x14ac:dyDescent="0.25">
      <c r="A6248" s="5">
        <f>6240</f>
      </c>
      <c r="B6248" s="5" t="s">
        <v>5490</v>
      </c>
      <c r="C6248" s="5" t="s">
        <v>11</v>
      </c>
      <c r="D6248" s="5" t="s">
        <v>12</v>
      </c>
      <c r="E6248" s="5" t="s">
        <v>3962</v>
      </c>
    </row>
    <row r="6249" spans="1:5" x14ac:dyDescent="0.25">
      <c r="A6249" s="5">
        <f>6241</f>
      </c>
      <c r="B6249" s="5" t="s">
        <v>5491</v>
      </c>
      <c r="C6249" s="5" t="s">
        <v>11</v>
      </c>
      <c r="D6249" s="5" t="s">
        <v>12</v>
      </c>
      <c r="E6249" s="5" t="s">
        <v>3962</v>
      </c>
    </row>
    <row r="6250" spans="1:5" x14ac:dyDescent="0.25">
      <c r="A6250" s="5">
        <f>6242</f>
      </c>
      <c r="B6250" s="5" t="s">
        <v>5492</v>
      </c>
      <c r="C6250" s="5" t="s">
        <v>11</v>
      </c>
      <c r="D6250" s="5" t="s">
        <v>12</v>
      </c>
      <c r="E6250" s="5" t="s">
        <v>3962</v>
      </c>
    </row>
    <row r="6251" spans="1:5" x14ac:dyDescent="0.25">
      <c r="A6251" s="5">
        <f>6243</f>
      </c>
      <c r="B6251" s="5" t="s">
        <v>5493</v>
      </c>
      <c r="C6251" s="5" t="s">
        <v>11</v>
      </c>
      <c r="D6251" s="5" t="s">
        <v>12</v>
      </c>
      <c r="E6251" s="5" t="s">
        <v>3962</v>
      </c>
    </row>
    <row r="6252" spans="1:5" x14ac:dyDescent="0.25">
      <c r="A6252" s="5">
        <f>6244</f>
      </c>
      <c r="B6252" s="5" t="s">
        <v>5494</v>
      </c>
      <c r="C6252" s="5" t="s">
        <v>11</v>
      </c>
      <c r="D6252" s="5" t="s">
        <v>12</v>
      </c>
      <c r="E6252" s="5" t="s">
        <v>3962</v>
      </c>
    </row>
    <row r="6253" spans="1:5" x14ac:dyDescent="0.25">
      <c r="A6253" s="5">
        <f>6245</f>
      </c>
      <c r="B6253" s="5" t="s">
        <v>5495</v>
      </c>
      <c r="C6253" s="5" t="s">
        <v>11</v>
      </c>
      <c r="D6253" s="5" t="s">
        <v>12</v>
      </c>
      <c r="E6253" s="5" t="s">
        <v>3962</v>
      </c>
    </row>
    <row r="6254" spans="1:5" x14ac:dyDescent="0.25">
      <c r="A6254" s="5">
        <f>6246</f>
      </c>
      <c r="B6254" s="5" t="s">
        <v>5496</v>
      </c>
      <c r="C6254" s="5" t="s">
        <v>11</v>
      </c>
      <c r="D6254" s="5" t="s">
        <v>12</v>
      </c>
      <c r="E6254" s="5" t="s">
        <v>3962</v>
      </c>
    </row>
    <row r="6255" spans="1:5" x14ac:dyDescent="0.25">
      <c r="A6255" s="5">
        <f>6247</f>
      </c>
      <c r="B6255" s="5" t="s">
        <v>5497</v>
      </c>
      <c r="C6255" s="5" t="s">
        <v>11</v>
      </c>
      <c r="D6255" s="5" t="s">
        <v>12</v>
      </c>
      <c r="E6255" s="5" t="s">
        <v>3962</v>
      </c>
    </row>
    <row r="6256" spans="1:5" x14ac:dyDescent="0.25">
      <c r="A6256" s="5">
        <f>6248</f>
      </c>
      <c r="B6256" s="5" t="s">
        <v>5498</v>
      </c>
      <c r="C6256" s="5" t="s">
        <v>11</v>
      </c>
      <c r="D6256" s="5" t="s">
        <v>12</v>
      </c>
      <c r="E6256" s="5" t="s">
        <v>3962</v>
      </c>
    </row>
    <row r="6257" spans="1:5" x14ac:dyDescent="0.25">
      <c r="A6257" s="5">
        <f>6249</f>
      </c>
      <c r="B6257" s="5" t="s">
        <v>5499</v>
      </c>
      <c r="C6257" s="5" t="s">
        <v>11</v>
      </c>
      <c r="D6257" s="5" t="s">
        <v>12</v>
      </c>
      <c r="E6257" s="5" t="s">
        <v>3962</v>
      </c>
    </row>
    <row r="6258" spans="1:5" x14ac:dyDescent="0.25">
      <c r="A6258" s="5">
        <f>6250</f>
      </c>
      <c r="B6258" s="5" t="s">
        <v>5500</v>
      </c>
      <c r="C6258" s="5" t="s">
        <v>11</v>
      </c>
      <c r="D6258" s="5" t="s">
        <v>12</v>
      </c>
      <c r="E6258" s="5" t="s">
        <v>3962</v>
      </c>
    </row>
    <row r="6259" spans="1:5" x14ac:dyDescent="0.25">
      <c r="A6259" s="5">
        <f>6251</f>
      </c>
      <c r="B6259" s="5" t="s">
        <v>5501</v>
      </c>
      <c r="C6259" s="5" t="s">
        <v>11</v>
      </c>
      <c r="D6259" s="5" t="s">
        <v>12</v>
      </c>
      <c r="E6259" s="5" t="s">
        <v>3962</v>
      </c>
    </row>
    <row r="6260" spans="1:5" x14ac:dyDescent="0.25">
      <c r="A6260" s="5">
        <f>6252</f>
      </c>
      <c r="B6260" s="5" t="s">
        <v>5502</v>
      </c>
      <c r="C6260" s="5" t="s">
        <v>11</v>
      </c>
      <c r="D6260" s="5" t="s">
        <v>12</v>
      </c>
      <c r="E6260" s="5" t="s">
        <v>3962</v>
      </c>
    </row>
    <row r="6261" spans="1:5" x14ac:dyDescent="0.25">
      <c r="A6261" s="5">
        <f>6253</f>
      </c>
      <c r="B6261" s="5" t="s">
        <v>5503</v>
      </c>
      <c r="C6261" s="5" t="s">
        <v>11</v>
      </c>
      <c r="D6261" s="5" t="s">
        <v>12</v>
      </c>
      <c r="E6261" s="5" t="s">
        <v>3962</v>
      </c>
    </row>
    <row r="6262" spans="1:5" x14ac:dyDescent="0.25">
      <c r="A6262" s="5">
        <f>6254</f>
      </c>
      <c r="B6262" s="5" t="s">
        <v>5504</v>
      </c>
      <c r="C6262" s="5" t="s">
        <v>11</v>
      </c>
      <c r="D6262" s="5" t="s">
        <v>12</v>
      </c>
      <c r="E6262" s="5" t="s">
        <v>3962</v>
      </c>
    </row>
    <row r="6263" spans="1:5" x14ac:dyDescent="0.25">
      <c r="A6263" s="5">
        <f>6255</f>
      </c>
      <c r="B6263" s="5" t="s">
        <v>5505</v>
      </c>
      <c r="C6263" s="5" t="s">
        <v>11</v>
      </c>
      <c r="D6263" s="5" t="s">
        <v>12</v>
      </c>
      <c r="E6263" s="5" t="s">
        <v>3962</v>
      </c>
    </row>
    <row r="6264" spans="1:5" x14ac:dyDescent="0.25">
      <c r="A6264" s="5">
        <f>6256</f>
      </c>
      <c r="B6264" s="5" t="s">
        <v>5506</v>
      </c>
      <c r="C6264" s="5" t="s">
        <v>11</v>
      </c>
      <c r="D6264" s="5" t="s">
        <v>12</v>
      </c>
      <c r="E6264" s="5" t="s">
        <v>3962</v>
      </c>
    </row>
    <row r="6265" spans="1:5" x14ac:dyDescent="0.25">
      <c r="A6265" s="5">
        <f>6257</f>
      </c>
      <c r="B6265" s="5" t="s">
        <v>5507</v>
      </c>
      <c r="C6265" s="5" t="s">
        <v>11</v>
      </c>
      <c r="D6265" s="5" t="s">
        <v>12</v>
      </c>
      <c r="E6265" s="5" t="s">
        <v>3962</v>
      </c>
    </row>
    <row r="6266" spans="1:5" x14ac:dyDescent="0.25">
      <c r="A6266" s="5">
        <f>6258</f>
      </c>
      <c r="B6266" s="5" t="s">
        <v>5508</v>
      </c>
      <c r="C6266" s="5" t="s">
        <v>11</v>
      </c>
      <c r="D6266" s="5" t="s">
        <v>12</v>
      </c>
      <c r="E6266" s="5" t="s">
        <v>3962</v>
      </c>
    </row>
    <row r="6267" spans="1:5" x14ac:dyDescent="0.25">
      <c r="A6267" s="5">
        <f>6259</f>
      </c>
      <c r="B6267" s="5" t="s">
        <v>5509</v>
      </c>
      <c r="C6267" s="5" t="s">
        <v>11</v>
      </c>
      <c r="D6267" s="5" t="s">
        <v>12</v>
      </c>
      <c r="E6267" s="5" t="s">
        <v>3962</v>
      </c>
    </row>
    <row r="6268" spans="1:5" x14ac:dyDescent="0.25">
      <c r="A6268" s="5">
        <f>6260</f>
      </c>
      <c r="B6268" s="5" t="s">
        <v>5510</v>
      </c>
      <c r="C6268" s="5" t="s">
        <v>11</v>
      </c>
      <c r="D6268" s="5" t="s">
        <v>12</v>
      </c>
      <c r="E6268" s="5" t="s">
        <v>3962</v>
      </c>
    </row>
    <row r="6269" spans="1:5" x14ac:dyDescent="0.25">
      <c r="A6269" s="5">
        <f>6261</f>
      </c>
      <c r="B6269" s="5" t="s">
        <v>5511</v>
      </c>
      <c r="C6269" s="5" t="s">
        <v>11</v>
      </c>
      <c r="D6269" s="5" t="s">
        <v>12</v>
      </c>
      <c r="E6269" s="5" t="s">
        <v>3962</v>
      </c>
    </row>
    <row r="6270" spans="1:5" x14ac:dyDescent="0.25">
      <c r="A6270" s="5">
        <f>6262</f>
      </c>
      <c r="B6270" s="5" t="s">
        <v>5512</v>
      </c>
      <c r="C6270" s="5" t="s">
        <v>11</v>
      </c>
      <c r="D6270" s="5" t="s">
        <v>12</v>
      </c>
      <c r="E6270" s="5" t="s">
        <v>3962</v>
      </c>
    </row>
    <row r="6271" spans="1:5" x14ac:dyDescent="0.25">
      <c r="A6271" s="5">
        <f>6263</f>
      </c>
      <c r="B6271" s="5" t="s">
        <v>5513</v>
      </c>
      <c r="C6271" s="5" t="s">
        <v>11</v>
      </c>
      <c r="D6271" s="5" t="s">
        <v>12</v>
      </c>
      <c r="E6271" s="5" t="s">
        <v>3962</v>
      </c>
    </row>
    <row r="6272" spans="1:5" x14ac:dyDescent="0.25">
      <c r="A6272" s="5">
        <f>6264</f>
      </c>
      <c r="B6272" s="5" t="s">
        <v>5514</v>
      </c>
      <c r="C6272" s="5" t="s">
        <v>11</v>
      </c>
      <c r="D6272" s="5" t="s">
        <v>12</v>
      </c>
      <c r="E6272" s="5" t="s">
        <v>3962</v>
      </c>
    </row>
    <row r="6273" spans="1:5" x14ac:dyDescent="0.25">
      <c r="A6273" s="5">
        <f>6265</f>
      </c>
      <c r="B6273" s="5" t="s">
        <v>5515</v>
      </c>
      <c r="C6273" s="5" t="s">
        <v>11</v>
      </c>
      <c r="D6273" s="5" t="s">
        <v>12</v>
      </c>
      <c r="E6273" s="5" t="s">
        <v>3962</v>
      </c>
    </row>
    <row r="6274" spans="1:5" x14ac:dyDescent="0.25">
      <c r="A6274" s="5">
        <f>6266</f>
      </c>
      <c r="B6274" s="5" t="s">
        <v>5516</v>
      </c>
      <c r="C6274" s="5" t="s">
        <v>11</v>
      </c>
      <c r="D6274" s="5" t="s">
        <v>12</v>
      </c>
      <c r="E6274" s="5" t="s">
        <v>3962</v>
      </c>
    </row>
    <row r="6275" spans="1:5" x14ac:dyDescent="0.25">
      <c r="A6275" s="5">
        <f>6267</f>
      </c>
      <c r="B6275" s="5" t="s">
        <v>5517</v>
      </c>
      <c r="C6275" s="5" t="s">
        <v>11</v>
      </c>
      <c r="D6275" s="5" t="s">
        <v>12</v>
      </c>
      <c r="E6275" s="5" t="s">
        <v>3962</v>
      </c>
    </row>
    <row r="6276" spans="1:5" x14ac:dyDescent="0.25">
      <c r="A6276" s="5">
        <f>6268</f>
      </c>
      <c r="B6276" s="5" t="s">
        <v>5518</v>
      </c>
      <c r="C6276" s="5" t="s">
        <v>11</v>
      </c>
      <c r="D6276" s="5" t="s">
        <v>12</v>
      </c>
      <c r="E6276" s="5" t="s">
        <v>3962</v>
      </c>
    </row>
    <row r="6277" spans="1:5" x14ac:dyDescent="0.25">
      <c r="A6277" s="5">
        <f>6269</f>
      </c>
      <c r="B6277" s="5" t="s">
        <v>5519</v>
      </c>
      <c r="C6277" s="5" t="s">
        <v>11</v>
      </c>
      <c r="D6277" s="5" t="s">
        <v>12</v>
      </c>
      <c r="E6277" s="5" t="s">
        <v>3962</v>
      </c>
    </row>
    <row r="6278" spans="1:5" x14ac:dyDescent="0.25">
      <c r="A6278" s="5">
        <f>6270</f>
      </c>
      <c r="B6278" s="5" t="s">
        <v>5520</v>
      </c>
      <c r="C6278" s="5" t="s">
        <v>11</v>
      </c>
      <c r="D6278" s="5" t="s">
        <v>12</v>
      </c>
      <c r="E6278" s="5" t="s">
        <v>3962</v>
      </c>
    </row>
    <row r="6279" spans="1:5" x14ac:dyDescent="0.25">
      <c r="A6279" s="5">
        <f>6271</f>
      </c>
      <c r="B6279" s="5" t="s">
        <v>5521</v>
      </c>
      <c r="C6279" s="5" t="s">
        <v>11</v>
      </c>
      <c r="D6279" s="5" t="s">
        <v>12</v>
      </c>
      <c r="E6279" s="5" t="s">
        <v>3962</v>
      </c>
    </row>
    <row r="6280" spans="1:5" x14ac:dyDescent="0.25">
      <c r="A6280" s="5">
        <f>6272</f>
      </c>
      <c r="B6280" s="5" t="s">
        <v>5522</v>
      </c>
      <c r="C6280" s="5" t="s">
        <v>11</v>
      </c>
      <c r="D6280" s="5" t="s">
        <v>12</v>
      </c>
      <c r="E6280" s="5" t="s">
        <v>3962</v>
      </c>
    </row>
    <row r="6281" spans="1:5" x14ac:dyDescent="0.25">
      <c r="A6281" s="5">
        <f>6273</f>
      </c>
      <c r="B6281" s="5" t="s">
        <v>5523</v>
      </c>
      <c r="C6281" s="5" t="s">
        <v>11</v>
      </c>
      <c r="D6281" s="5" t="s">
        <v>12</v>
      </c>
      <c r="E6281" s="5" t="s">
        <v>3962</v>
      </c>
    </row>
    <row r="6282" spans="1:5" x14ac:dyDescent="0.25">
      <c r="A6282" s="5">
        <f>6274</f>
      </c>
      <c r="B6282" s="5" t="s">
        <v>5524</v>
      </c>
      <c r="C6282" s="5" t="s">
        <v>11</v>
      </c>
      <c r="D6282" s="5" t="s">
        <v>12</v>
      </c>
      <c r="E6282" s="5" t="s">
        <v>3962</v>
      </c>
    </row>
    <row r="6283" spans="1:5" x14ac:dyDescent="0.25">
      <c r="A6283" s="5">
        <f>6275</f>
      </c>
      <c r="B6283" s="5" t="s">
        <v>5525</v>
      </c>
      <c r="C6283" s="5" t="s">
        <v>11</v>
      </c>
      <c r="D6283" s="5" t="s">
        <v>12</v>
      </c>
      <c r="E6283" s="5" t="s">
        <v>3962</v>
      </c>
    </row>
    <row r="6284" spans="1:5" x14ac:dyDescent="0.25">
      <c r="A6284" s="5">
        <f>6276</f>
      </c>
      <c r="B6284" s="5" t="s">
        <v>5526</v>
      </c>
      <c r="C6284" s="5" t="s">
        <v>11</v>
      </c>
      <c r="D6284" s="5" t="s">
        <v>12</v>
      </c>
      <c r="E6284" s="5" t="s">
        <v>3962</v>
      </c>
    </row>
    <row r="6285" spans="1:5" x14ac:dyDescent="0.25">
      <c r="A6285" s="5">
        <f>6277</f>
      </c>
      <c r="B6285" s="5" t="s">
        <v>5527</v>
      </c>
      <c r="C6285" s="5" t="s">
        <v>11</v>
      </c>
      <c r="D6285" s="5" t="s">
        <v>12</v>
      </c>
      <c r="E6285" s="5" t="s">
        <v>3962</v>
      </c>
    </row>
    <row r="6286" spans="1:5" x14ac:dyDescent="0.25">
      <c r="A6286" s="5">
        <f>6278</f>
      </c>
      <c r="B6286" s="5" t="s">
        <v>5528</v>
      </c>
      <c r="C6286" s="5" t="s">
        <v>11</v>
      </c>
      <c r="D6286" s="5" t="s">
        <v>12</v>
      </c>
      <c r="E6286" s="5" t="s">
        <v>3962</v>
      </c>
    </row>
    <row r="6287" spans="1:5" x14ac:dyDescent="0.25">
      <c r="A6287" s="5">
        <f>6279</f>
      </c>
      <c r="B6287" s="5" t="s">
        <v>5529</v>
      </c>
      <c r="C6287" s="5" t="s">
        <v>11</v>
      </c>
      <c r="D6287" s="5" t="s">
        <v>12</v>
      </c>
      <c r="E6287" s="5" t="s">
        <v>3962</v>
      </c>
    </row>
    <row r="6288" spans="1:5" x14ac:dyDescent="0.25">
      <c r="A6288" s="5">
        <f>6280</f>
      </c>
      <c r="B6288" s="5" t="s">
        <v>5530</v>
      </c>
      <c r="C6288" s="5" t="s">
        <v>11</v>
      </c>
      <c r="D6288" s="5" t="s">
        <v>12</v>
      </c>
      <c r="E6288" s="5" t="s">
        <v>3962</v>
      </c>
    </row>
    <row r="6289" spans="1:5" x14ac:dyDescent="0.25">
      <c r="A6289" s="5">
        <f>6281</f>
      </c>
      <c r="B6289" s="5" t="s">
        <v>5531</v>
      </c>
      <c r="C6289" s="5" t="s">
        <v>11</v>
      </c>
      <c r="D6289" s="5" t="s">
        <v>12</v>
      </c>
      <c r="E6289" s="5" t="s">
        <v>3962</v>
      </c>
    </row>
    <row r="6290" spans="1:5" x14ac:dyDescent="0.25">
      <c r="A6290" s="5">
        <f>6282</f>
      </c>
      <c r="B6290" s="5" t="s">
        <v>5532</v>
      </c>
      <c r="C6290" s="5" t="s">
        <v>11</v>
      </c>
      <c r="D6290" s="5" t="s">
        <v>12</v>
      </c>
      <c r="E6290" s="5" t="s">
        <v>3962</v>
      </c>
    </row>
    <row r="6291" spans="1:5" x14ac:dyDescent="0.25">
      <c r="A6291" s="5">
        <f>6283</f>
      </c>
      <c r="B6291" s="5" t="s">
        <v>5533</v>
      </c>
      <c r="C6291" s="5" t="s">
        <v>11</v>
      </c>
      <c r="D6291" s="5" t="s">
        <v>12</v>
      </c>
      <c r="E6291" s="5" t="s">
        <v>3962</v>
      </c>
    </row>
    <row r="6292" spans="1:5" x14ac:dyDescent="0.25">
      <c r="A6292" s="5">
        <f>6284</f>
      </c>
      <c r="B6292" s="5" t="s">
        <v>5534</v>
      </c>
      <c r="C6292" s="5" t="s">
        <v>11</v>
      </c>
      <c r="D6292" s="5" t="s">
        <v>12</v>
      </c>
      <c r="E6292" s="5" t="s">
        <v>3962</v>
      </c>
    </row>
    <row r="6293" spans="1:5" x14ac:dyDescent="0.25">
      <c r="A6293" s="5">
        <f>6285</f>
      </c>
      <c r="B6293" s="5" t="s">
        <v>5535</v>
      </c>
      <c r="C6293" s="5" t="s">
        <v>11</v>
      </c>
      <c r="D6293" s="5" t="s">
        <v>12</v>
      </c>
      <c r="E6293" s="5" t="s">
        <v>3962</v>
      </c>
    </row>
    <row r="6294" spans="1:5" x14ac:dyDescent="0.25">
      <c r="A6294" s="5">
        <f>6286</f>
      </c>
      <c r="B6294" s="5" t="s">
        <v>5536</v>
      </c>
      <c r="C6294" s="5" t="s">
        <v>11</v>
      </c>
      <c r="D6294" s="5" t="s">
        <v>12</v>
      </c>
      <c r="E6294" s="5" t="s">
        <v>3962</v>
      </c>
    </row>
    <row r="6295" spans="1:5" x14ac:dyDescent="0.25">
      <c r="A6295" s="5">
        <f>6287</f>
      </c>
      <c r="B6295" s="5" t="s">
        <v>5537</v>
      </c>
      <c r="C6295" s="5" t="s">
        <v>11</v>
      </c>
      <c r="D6295" s="5" t="s">
        <v>12</v>
      </c>
      <c r="E6295" s="5" t="s">
        <v>3962</v>
      </c>
    </row>
    <row r="6296" spans="1:5" x14ac:dyDescent="0.25">
      <c r="A6296" s="5">
        <f>6288</f>
      </c>
      <c r="B6296" s="5" t="s">
        <v>5538</v>
      </c>
      <c r="C6296" s="5" t="s">
        <v>11</v>
      </c>
      <c r="D6296" s="5" t="s">
        <v>12</v>
      </c>
      <c r="E6296" s="5" t="s">
        <v>3962</v>
      </c>
    </row>
    <row r="6297" spans="1:5" x14ac:dyDescent="0.25">
      <c r="A6297" s="5">
        <f>6289</f>
      </c>
      <c r="B6297" s="5" t="s">
        <v>5539</v>
      </c>
      <c r="C6297" s="5" t="s">
        <v>11</v>
      </c>
      <c r="D6297" s="5" t="s">
        <v>12</v>
      </c>
      <c r="E6297" s="5" t="s">
        <v>3962</v>
      </c>
    </row>
    <row r="6298" spans="1:5" x14ac:dyDescent="0.25">
      <c r="A6298" s="5">
        <f>6290</f>
      </c>
      <c r="B6298" s="5" t="s">
        <v>5540</v>
      </c>
      <c r="C6298" s="5" t="s">
        <v>11</v>
      </c>
      <c r="D6298" s="5" t="s">
        <v>12</v>
      </c>
      <c r="E6298" s="5" t="s">
        <v>3962</v>
      </c>
    </row>
    <row r="6299" spans="1:5" x14ac:dyDescent="0.25">
      <c r="A6299" s="5">
        <f>6291</f>
      </c>
      <c r="B6299" s="5" t="s">
        <v>5541</v>
      </c>
      <c r="C6299" s="5" t="s">
        <v>11</v>
      </c>
      <c r="D6299" s="5" t="s">
        <v>12</v>
      </c>
      <c r="E6299" s="5" t="s">
        <v>3962</v>
      </c>
    </row>
    <row r="6300" spans="1:5" x14ac:dyDescent="0.25">
      <c r="A6300" s="5">
        <f>6292</f>
      </c>
      <c r="B6300" s="5" t="s">
        <v>5542</v>
      </c>
      <c r="C6300" s="5" t="s">
        <v>11</v>
      </c>
      <c r="D6300" s="5" t="s">
        <v>12</v>
      </c>
      <c r="E6300" s="5" t="s">
        <v>3962</v>
      </c>
    </row>
    <row r="6301" spans="1:5" x14ac:dyDescent="0.25">
      <c r="A6301" s="5">
        <f>6293</f>
      </c>
      <c r="B6301" s="5" t="s">
        <v>5543</v>
      </c>
      <c r="C6301" s="5" t="s">
        <v>11</v>
      </c>
      <c r="D6301" s="5" t="s">
        <v>12</v>
      </c>
      <c r="E6301" s="5" t="s">
        <v>3962</v>
      </c>
    </row>
    <row r="6302" spans="1:5" x14ac:dyDescent="0.25">
      <c r="A6302" s="5">
        <f>6294</f>
      </c>
      <c r="B6302" s="5" t="s">
        <v>5544</v>
      </c>
      <c r="C6302" s="5" t="s">
        <v>11</v>
      </c>
      <c r="D6302" s="5" t="s">
        <v>12</v>
      </c>
      <c r="E6302" s="5" t="s">
        <v>3962</v>
      </c>
    </row>
    <row r="6303" spans="1:5" x14ac:dyDescent="0.25">
      <c r="A6303" s="5">
        <f>6295</f>
      </c>
      <c r="B6303" s="5" t="s">
        <v>5545</v>
      </c>
      <c r="C6303" s="5" t="s">
        <v>11</v>
      </c>
      <c r="D6303" s="5" t="s">
        <v>12</v>
      </c>
      <c r="E6303" s="5" t="s">
        <v>3962</v>
      </c>
    </row>
    <row r="6304" spans="1:5" x14ac:dyDescent="0.25">
      <c r="A6304" s="5">
        <f>6296</f>
      </c>
      <c r="B6304" s="5" t="s">
        <v>5546</v>
      </c>
      <c r="C6304" s="5" t="s">
        <v>11</v>
      </c>
      <c r="D6304" s="5" t="s">
        <v>12</v>
      </c>
      <c r="E6304" s="5" t="s">
        <v>3962</v>
      </c>
    </row>
    <row r="6305" spans="1:5" x14ac:dyDescent="0.25">
      <c r="A6305" s="5">
        <f>6297</f>
      </c>
      <c r="B6305" s="5" t="s">
        <v>5547</v>
      </c>
      <c r="C6305" s="5" t="s">
        <v>11</v>
      </c>
      <c r="D6305" s="5" t="s">
        <v>12</v>
      </c>
      <c r="E6305" s="5" t="s">
        <v>3962</v>
      </c>
    </row>
    <row r="6306" spans="1:5" x14ac:dyDescent="0.25">
      <c r="A6306" s="5">
        <f>6298</f>
      </c>
      <c r="B6306" s="5" t="s">
        <v>5548</v>
      </c>
      <c r="C6306" s="5" t="s">
        <v>11</v>
      </c>
      <c r="D6306" s="5" t="s">
        <v>12</v>
      </c>
      <c r="E6306" s="5" t="s">
        <v>3962</v>
      </c>
    </row>
    <row r="6307" spans="1:5" x14ac:dyDescent="0.25">
      <c r="A6307" s="5">
        <f>6299</f>
      </c>
      <c r="B6307" s="5" t="s">
        <v>5549</v>
      </c>
      <c r="C6307" s="5" t="s">
        <v>11</v>
      </c>
      <c r="D6307" s="5" t="s">
        <v>12</v>
      </c>
      <c r="E6307" s="5" t="s">
        <v>3962</v>
      </c>
    </row>
    <row r="6308" spans="1:5" x14ac:dyDescent="0.25">
      <c r="A6308" s="5">
        <f>6300</f>
      </c>
      <c r="B6308" s="5" t="s">
        <v>5550</v>
      </c>
      <c r="C6308" s="5" t="s">
        <v>11</v>
      </c>
      <c r="D6308" s="5" t="s">
        <v>12</v>
      </c>
      <c r="E6308" s="5" t="s">
        <v>3962</v>
      </c>
    </row>
    <row r="6309" spans="1:5" x14ac:dyDescent="0.25">
      <c r="A6309" s="5">
        <f>6301</f>
      </c>
      <c r="B6309" s="5" t="s">
        <v>5551</v>
      </c>
      <c r="C6309" s="5" t="s">
        <v>11</v>
      </c>
      <c r="D6309" s="5" t="s">
        <v>12</v>
      </c>
      <c r="E6309" s="5" t="s">
        <v>3962</v>
      </c>
    </row>
    <row r="6310" spans="1:5" x14ac:dyDescent="0.25">
      <c r="A6310" s="5">
        <f>6302</f>
      </c>
      <c r="B6310" s="5" t="s">
        <v>5552</v>
      </c>
      <c r="C6310" s="5" t="s">
        <v>11</v>
      </c>
      <c r="D6310" s="5" t="s">
        <v>12</v>
      </c>
      <c r="E6310" s="5" t="s">
        <v>3962</v>
      </c>
    </row>
    <row r="6311" spans="1:5" x14ac:dyDescent="0.25">
      <c r="A6311" s="5">
        <f>6303</f>
      </c>
      <c r="B6311" s="5" t="s">
        <v>5553</v>
      </c>
      <c r="C6311" s="5" t="s">
        <v>11</v>
      </c>
      <c r="D6311" s="5" t="s">
        <v>12</v>
      </c>
      <c r="E6311" s="5" t="s">
        <v>3962</v>
      </c>
    </row>
    <row r="6312" spans="1:5" x14ac:dyDescent="0.25">
      <c r="A6312" s="5">
        <f>6304</f>
      </c>
      <c r="B6312" s="5" t="s">
        <v>5554</v>
      </c>
      <c r="C6312" s="5" t="s">
        <v>11</v>
      </c>
      <c r="D6312" s="5" t="s">
        <v>12</v>
      </c>
      <c r="E6312" s="5" t="s">
        <v>3962</v>
      </c>
    </row>
    <row r="6313" spans="1:5" x14ac:dyDescent="0.25">
      <c r="A6313" s="5">
        <f>6305</f>
      </c>
      <c r="B6313" s="5" t="s">
        <v>5555</v>
      </c>
      <c r="C6313" s="5" t="s">
        <v>11</v>
      </c>
      <c r="D6313" s="5" t="s">
        <v>12</v>
      </c>
      <c r="E6313" s="5" t="s">
        <v>3962</v>
      </c>
    </row>
    <row r="6314" spans="1:5" x14ac:dyDescent="0.25">
      <c r="A6314" s="5">
        <f>6306</f>
      </c>
      <c r="B6314" s="5" t="s">
        <v>5556</v>
      </c>
      <c r="C6314" s="5" t="s">
        <v>11</v>
      </c>
      <c r="D6314" s="5" t="s">
        <v>12</v>
      </c>
      <c r="E6314" s="5" t="s">
        <v>3962</v>
      </c>
    </row>
    <row r="6315" spans="1:5" x14ac:dyDescent="0.25">
      <c r="A6315" s="5">
        <f>6307</f>
      </c>
      <c r="B6315" s="5" t="s">
        <v>5557</v>
      </c>
      <c r="C6315" s="5" t="s">
        <v>11</v>
      </c>
      <c r="D6315" s="5" t="s">
        <v>12</v>
      </c>
      <c r="E6315" s="5" t="s">
        <v>3962</v>
      </c>
    </row>
    <row r="6316" spans="1:5" x14ac:dyDescent="0.25">
      <c r="A6316" s="5">
        <f>6308</f>
      </c>
      <c r="B6316" s="5" t="s">
        <v>5558</v>
      </c>
      <c r="C6316" s="5" t="s">
        <v>11</v>
      </c>
      <c r="D6316" s="5" t="s">
        <v>12</v>
      </c>
      <c r="E6316" s="5" t="s">
        <v>3962</v>
      </c>
    </row>
    <row r="6317" spans="1:5" x14ac:dyDescent="0.25">
      <c r="A6317" s="5">
        <f>6309</f>
      </c>
      <c r="B6317" s="5" t="s">
        <v>5559</v>
      </c>
      <c r="C6317" s="5" t="s">
        <v>11</v>
      </c>
      <c r="D6317" s="5" t="s">
        <v>12</v>
      </c>
      <c r="E6317" s="5" t="s">
        <v>3962</v>
      </c>
    </row>
    <row r="6318" spans="1:5" x14ac:dyDescent="0.25">
      <c r="A6318" s="5">
        <f>6310</f>
      </c>
      <c r="B6318" s="5" t="s">
        <v>5560</v>
      </c>
      <c r="C6318" s="5" t="s">
        <v>11</v>
      </c>
      <c r="D6318" s="5" t="s">
        <v>12</v>
      </c>
      <c r="E6318" s="5" t="s">
        <v>3962</v>
      </c>
    </row>
    <row r="6319" spans="1:5" x14ac:dyDescent="0.25">
      <c r="A6319" s="5">
        <f>6311</f>
      </c>
      <c r="B6319" s="5" t="s">
        <v>5561</v>
      </c>
      <c r="C6319" s="5" t="s">
        <v>11</v>
      </c>
      <c r="D6319" s="5" t="s">
        <v>12</v>
      </c>
      <c r="E6319" s="5" t="s">
        <v>3962</v>
      </c>
    </row>
    <row r="6320" spans="1:5" x14ac:dyDescent="0.25">
      <c r="A6320" s="5">
        <f>6312</f>
      </c>
      <c r="B6320" s="5" t="s">
        <v>5562</v>
      </c>
      <c r="C6320" s="5" t="s">
        <v>11</v>
      </c>
      <c r="D6320" s="5" t="s">
        <v>12</v>
      </c>
      <c r="E6320" s="5" t="s">
        <v>3962</v>
      </c>
    </row>
    <row r="6321" spans="1:5" x14ac:dyDescent="0.25">
      <c r="A6321" s="5">
        <f>6313</f>
      </c>
      <c r="B6321" s="5" t="s">
        <v>5563</v>
      </c>
      <c r="C6321" s="5" t="s">
        <v>11</v>
      </c>
      <c r="D6321" s="5" t="s">
        <v>12</v>
      </c>
      <c r="E6321" s="5" t="s">
        <v>3962</v>
      </c>
    </row>
    <row r="6322" spans="1:5" x14ac:dyDescent="0.25">
      <c r="A6322" s="5">
        <f>6314</f>
      </c>
      <c r="B6322" s="5" t="s">
        <v>5564</v>
      </c>
      <c r="C6322" s="5" t="s">
        <v>11</v>
      </c>
      <c r="D6322" s="5" t="s">
        <v>12</v>
      </c>
      <c r="E6322" s="5" t="s">
        <v>3962</v>
      </c>
    </row>
    <row r="6323" spans="1:5" x14ac:dyDescent="0.25">
      <c r="A6323" s="5">
        <f>6315</f>
      </c>
      <c r="B6323" s="5" t="s">
        <v>5565</v>
      </c>
      <c r="C6323" s="5" t="s">
        <v>11</v>
      </c>
      <c r="D6323" s="5" t="s">
        <v>12</v>
      </c>
      <c r="E6323" s="5" t="s">
        <v>3962</v>
      </c>
    </row>
    <row r="6324" spans="1:5" x14ac:dyDescent="0.25">
      <c r="A6324" s="5">
        <f>6316</f>
      </c>
      <c r="B6324" s="5" t="s">
        <v>5566</v>
      </c>
      <c r="C6324" s="5" t="s">
        <v>11</v>
      </c>
      <c r="D6324" s="5" t="s">
        <v>12</v>
      </c>
      <c r="E6324" s="5" t="s">
        <v>3962</v>
      </c>
    </row>
    <row r="6325" spans="1:5" x14ac:dyDescent="0.25">
      <c r="A6325" s="5">
        <f>6317</f>
      </c>
      <c r="B6325" s="5" t="s">
        <v>5567</v>
      </c>
      <c r="C6325" s="5" t="s">
        <v>11</v>
      </c>
      <c r="D6325" s="5" t="s">
        <v>12</v>
      </c>
      <c r="E6325" s="5" t="s">
        <v>3962</v>
      </c>
    </row>
    <row r="6326" spans="1:5" x14ac:dyDescent="0.25">
      <c r="A6326" s="5">
        <f>6318</f>
      </c>
      <c r="B6326" s="5" t="s">
        <v>5568</v>
      </c>
      <c r="C6326" s="5" t="s">
        <v>11</v>
      </c>
      <c r="D6326" s="5" t="s">
        <v>12</v>
      </c>
      <c r="E6326" s="5" t="s">
        <v>3962</v>
      </c>
    </row>
    <row r="6327" spans="1:5" x14ac:dyDescent="0.25">
      <c r="A6327" s="5">
        <f>6319</f>
      </c>
      <c r="B6327" s="5" t="s">
        <v>5569</v>
      </c>
      <c r="C6327" s="5" t="s">
        <v>11</v>
      </c>
      <c r="D6327" s="5" t="s">
        <v>12</v>
      </c>
      <c r="E6327" s="5" t="s">
        <v>3962</v>
      </c>
    </row>
    <row r="6328" spans="1:5" x14ac:dyDescent="0.25">
      <c r="A6328" s="5">
        <f>6320</f>
      </c>
      <c r="B6328" s="5" t="s">
        <v>5570</v>
      </c>
      <c r="C6328" s="5" t="s">
        <v>11</v>
      </c>
      <c r="D6328" s="5" t="s">
        <v>12</v>
      </c>
      <c r="E6328" s="5" t="s">
        <v>3962</v>
      </c>
    </row>
    <row r="6329" spans="1:5" x14ac:dyDescent="0.25">
      <c r="A6329" s="5">
        <f>6321</f>
      </c>
      <c r="B6329" s="5" t="s">
        <v>5571</v>
      </c>
      <c r="C6329" s="5" t="s">
        <v>11</v>
      </c>
      <c r="D6329" s="5" t="s">
        <v>12</v>
      </c>
      <c r="E6329" s="5" t="s">
        <v>3962</v>
      </c>
    </row>
    <row r="6330" spans="1:5" x14ac:dyDescent="0.25">
      <c r="A6330" s="5">
        <f>6322</f>
      </c>
      <c r="B6330" s="5" t="s">
        <v>5572</v>
      </c>
      <c r="C6330" s="5" t="s">
        <v>11</v>
      </c>
      <c r="D6330" s="5" t="s">
        <v>12</v>
      </c>
      <c r="E6330" s="5" t="s">
        <v>3962</v>
      </c>
    </row>
    <row r="6331" spans="1:5" x14ac:dyDescent="0.25">
      <c r="A6331" s="5">
        <f>6323</f>
      </c>
      <c r="B6331" s="5" t="s">
        <v>5573</v>
      </c>
      <c r="C6331" s="5" t="s">
        <v>11</v>
      </c>
      <c r="D6331" s="5" t="s">
        <v>12</v>
      </c>
      <c r="E6331" s="5" t="s">
        <v>3962</v>
      </c>
    </row>
    <row r="6332" spans="1:5" x14ac:dyDescent="0.25">
      <c r="A6332" s="5">
        <f>6324</f>
      </c>
      <c r="B6332" s="5" t="s">
        <v>5574</v>
      </c>
      <c r="C6332" s="5" t="s">
        <v>11</v>
      </c>
      <c r="D6332" s="5" t="s">
        <v>12</v>
      </c>
      <c r="E6332" s="5" t="s">
        <v>3962</v>
      </c>
    </row>
    <row r="6333" spans="1:5" x14ac:dyDescent="0.25">
      <c r="A6333" s="5">
        <f>6325</f>
      </c>
      <c r="B6333" s="5" t="s">
        <v>5575</v>
      </c>
      <c r="C6333" s="5" t="s">
        <v>11</v>
      </c>
      <c r="D6333" s="5" t="s">
        <v>12</v>
      </c>
      <c r="E6333" s="5" t="s">
        <v>3962</v>
      </c>
    </row>
    <row r="6334" spans="1:5" x14ac:dyDescent="0.25">
      <c r="A6334" s="5">
        <f>6326</f>
      </c>
      <c r="B6334" s="5" t="s">
        <v>5576</v>
      </c>
      <c r="C6334" s="5" t="s">
        <v>11</v>
      </c>
      <c r="D6334" s="5" t="s">
        <v>12</v>
      </c>
      <c r="E6334" s="5" t="s">
        <v>3962</v>
      </c>
    </row>
    <row r="6335" spans="1:5" x14ac:dyDescent="0.25">
      <c r="A6335" s="5">
        <f>6327</f>
      </c>
      <c r="B6335" s="5" t="s">
        <v>5577</v>
      </c>
      <c r="C6335" s="5" t="s">
        <v>11</v>
      </c>
      <c r="D6335" s="5" t="s">
        <v>12</v>
      </c>
      <c r="E6335" s="5" t="s">
        <v>3962</v>
      </c>
    </row>
    <row r="6336" spans="1:5" x14ac:dyDescent="0.25">
      <c r="A6336" s="5">
        <f>6328</f>
      </c>
      <c r="B6336" s="5" t="s">
        <v>5578</v>
      </c>
      <c r="C6336" s="5" t="s">
        <v>11</v>
      </c>
      <c r="D6336" s="5" t="s">
        <v>12</v>
      </c>
      <c r="E6336" s="5" t="s">
        <v>3962</v>
      </c>
    </row>
    <row r="6337" spans="1:5" x14ac:dyDescent="0.25">
      <c r="A6337" s="5">
        <f>6329</f>
      </c>
      <c r="B6337" s="5" t="s">
        <v>5579</v>
      </c>
      <c r="C6337" s="5" t="s">
        <v>11</v>
      </c>
      <c r="D6337" s="5" t="s">
        <v>12</v>
      </c>
      <c r="E6337" s="5" t="s">
        <v>3962</v>
      </c>
    </row>
    <row r="6338" spans="1:5" x14ac:dyDescent="0.25">
      <c r="A6338" s="5">
        <f>6330</f>
      </c>
      <c r="B6338" s="5" t="s">
        <v>5580</v>
      </c>
      <c r="C6338" s="5" t="s">
        <v>11</v>
      </c>
      <c r="D6338" s="5" t="s">
        <v>12</v>
      </c>
      <c r="E6338" s="5" t="s">
        <v>3962</v>
      </c>
    </row>
    <row r="6339" spans="1:5" x14ac:dyDescent="0.25">
      <c r="A6339" s="5">
        <f>6331</f>
      </c>
      <c r="B6339" s="5" t="s">
        <v>5581</v>
      </c>
      <c r="C6339" s="5" t="s">
        <v>11</v>
      </c>
      <c r="D6339" s="5" t="s">
        <v>12</v>
      </c>
      <c r="E6339" s="5" t="s">
        <v>3962</v>
      </c>
    </row>
    <row r="6340" spans="1:5" x14ac:dyDescent="0.25">
      <c r="A6340" s="5">
        <f>6332</f>
      </c>
      <c r="B6340" s="5" t="s">
        <v>5582</v>
      </c>
      <c r="C6340" s="5" t="s">
        <v>11</v>
      </c>
      <c r="D6340" s="5" t="s">
        <v>12</v>
      </c>
      <c r="E6340" s="5" t="s">
        <v>3962</v>
      </c>
    </row>
    <row r="6341" spans="1:5" x14ac:dyDescent="0.25">
      <c r="A6341" s="5">
        <f>6333</f>
      </c>
      <c r="B6341" s="5" t="s">
        <v>5583</v>
      </c>
      <c r="C6341" s="5" t="s">
        <v>11</v>
      </c>
      <c r="D6341" s="5" t="s">
        <v>12</v>
      </c>
      <c r="E6341" s="5" t="s">
        <v>3962</v>
      </c>
    </row>
    <row r="6342" spans="1:5" x14ac:dyDescent="0.25">
      <c r="A6342" s="5">
        <f>6334</f>
      </c>
      <c r="B6342" s="5" t="s">
        <v>5584</v>
      </c>
      <c r="C6342" s="5" t="s">
        <v>11</v>
      </c>
      <c r="D6342" s="5" t="s">
        <v>12</v>
      </c>
      <c r="E6342" s="5" t="s">
        <v>3962</v>
      </c>
    </row>
    <row r="6343" spans="1:5" x14ac:dyDescent="0.25">
      <c r="A6343" s="5">
        <f>6335</f>
      </c>
      <c r="B6343" s="5" t="s">
        <v>5585</v>
      </c>
      <c r="C6343" s="5" t="s">
        <v>11</v>
      </c>
      <c r="D6343" s="5" t="s">
        <v>12</v>
      </c>
      <c r="E6343" s="5" t="s">
        <v>3962</v>
      </c>
    </row>
    <row r="6344" spans="1:5" x14ac:dyDescent="0.25">
      <c r="A6344" s="5">
        <f>6336</f>
      </c>
      <c r="B6344" s="5" t="s">
        <v>5586</v>
      </c>
      <c r="C6344" s="5" t="s">
        <v>11</v>
      </c>
      <c r="D6344" s="5" t="s">
        <v>12</v>
      </c>
      <c r="E6344" s="5" t="s">
        <v>3962</v>
      </c>
    </row>
    <row r="6345" spans="1:5" x14ac:dyDescent="0.25">
      <c r="A6345" s="5">
        <f>6337</f>
      </c>
      <c r="B6345" s="5" t="s">
        <v>5587</v>
      </c>
      <c r="C6345" s="5" t="s">
        <v>11</v>
      </c>
      <c r="D6345" s="5" t="s">
        <v>12</v>
      </c>
      <c r="E6345" s="5" t="s">
        <v>3962</v>
      </c>
    </row>
    <row r="6346" spans="1:5" x14ac:dyDescent="0.25">
      <c r="A6346" s="5">
        <f>6338</f>
      </c>
      <c r="B6346" s="5" t="s">
        <v>5588</v>
      </c>
      <c r="C6346" s="5" t="s">
        <v>11</v>
      </c>
      <c r="D6346" s="5" t="s">
        <v>12</v>
      </c>
      <c r="E6346" s="5" t="s">
        <v>3962</v>
      </c>
    </row>
    <row r="6347" spans="1:5" x14ac:dyDescent="0.25">
      <c r="A6347" s="5">
        <f>6339</f>
      </c>
      <c r="B6347" s="5" t="s">
        <v>5589</v>
      </c>
      <c r="C6347" s="5" t="s">
        <v>11</v>
      </c>
      <c r="D6347" s="5" t="s">
        <v>12</v>
      </c>
      <c r="E6347" s="5" t="s">
        <v>3962</v>
      </c>
    </row>
    <row r="6348" spans="1:5" x14ac:dyDescent="0.25">
      <c r="A6348" s="5">
        <f>6340</f>
      </c>
      <c r="B6348" s="5" t="s">
        <v>5590</v>
      </c>
      <c r="C6348" s="5" t="s">
        <v>11</v>
      </c>
      <c r="D6348" s="5" t="s">
        <v>12</v>
      </c>
      <c r="E6348" s="5" t="s">
        <v>3962</v>
      </c>
    </row>
    <row r="6349" spans="1:5" x14ac:dyDescent="0.25">
      <c r="A6349" s="5">
        <f>6341</f>
      </c>
      <c r="B6349" s="5" t="s">
        <v>5591</v>
      </c>
      <c r="C6349" s="5" t="s">
        <v>11</v>
      </c>
      <c r="D6349" s="5" t="s">
        <v>12</v>
      </c>
      <c r="E6349" s="5" t="s">
        <v>3962</v>
      </c>
    </row>
    <row r="6350" spans="1:5" x14ac:dyDescent="0.25">
      <c r="A6350" s="5">
        <f>6342</f>
      </c>
      <c r="B6350" s="5" t="s">
        <v>5592</v>
      </c>
      <c r="C6350" s="5" t="s">
        <v>11</v>
      </c>
      <c r="D6350" s="5" t="s">
        <v>12</v>
      </c>
      <c r="E6350" s="5" t="s">
        <v>3962</v>
      </c>
    </row>
    <row r="6351" spans="1:5" x14ac:dyDescent="0.25">
      <c r="A6351" s="5">
        <f>6343</f>
      </c>
      <c r="B6351" s="5" t="s">
        <v>5593</v>
      </c>
      <c r="C6351" s="5" t="s">
        <v>11</v>
      </c>
      <c r="D6351" s="5" t="s">
        <v>12</v>
      </c>
      <c r="E6351" s="5" t="s">
        <v>3962</v>
      </c>
    </row>
    <row r="6352" spans="1:5" x14ac:dyDescent="0.25">
      <c r="A6352" s="5">
        <f>6344</f>
      </c>
      <c r="B6352" s="5" t="s">
        <v>5594</v>
      </c>
      <c r="C6352" s="5" t="s">
        <v>11</v>
      </c>
      <c r="D6352" s="5" t="s">
        <v>12</v>
      </c>
      <c r="E6352" s="5" t="s">
        <v>3962</v>
      </c>
    </row>
    <row r="6353" spans="1:5" x14ac:dyDescent="0.25">
      <c r="A6353" s="5">
        <f>6345</f>
      </c>
      <c r="B6353" s="5" t="s">
        <v>5595</v>
      </c>
      <c r="C6353" s="5" t="s">
        <v>11</v>
      </c>
      <c r="D6353" s="5" t="s">
        <v>12</v>
      </c>
      <c r="E6353" s="5" t="s">
        <v>3962</v>
      </c>
    </row>
    <row r="6354" spans="1:5" x14ac:dyDescent="0.25">
      <c r="A6354" s="5">
        <f>6346</f>
      </c>
      <c r="B6354" s="5" t="s">
        <v>5596</v>
      </c>
      <c r="C6354" s="5" t="s">
        <v>11</v>
      </c>
      <c r="D6354" s="5" t="s">
        <v>12</v>
      </c>
      <c r="E6354" s="5" t="s">
        <v>3962</v>
      </c>
    </row>
    <row r="6355" spans="1:5" x14ac:dyDescent="0.25">
      <c r="A6355" s="5">
        <f>6347</f>
      </c>
      <c r="B6355" s="5" t="s">
        <v>5597</v>
      </c>
      <c r="C6355" s="5" t="s">
        <v>11</v>
      </c>
      <c r="D6355" s="5" t="s">
        <v>12</v>
      </c>
      <c r="E6355" s="5" t="s">
        <v>3962</v>
      </c>
    </row>
    <row r="6356" spans="1:5" x14ac:dyDescent="0.25">
      <c r="A6356" s="5">
        <f>6348</f>
      </c>
      <c r="B6356" s="5" t="s">
        <v>5598</v>
      </c>
      <c r="C6356" s="5" t="s">
        <v>11</v>
      </c>
      <c r="D6356" s="5" t="s">
        <v>12</v>
      </c>
      <c r="E6356" s="5" t="s">
        <v>3962</v>
      </c>
    </row>
    <row r="6357" spans="1:5" x14ac:dyDescent="0.25">
      <c r="A6357" s="5">
        <f>6349</f>
      </c>
      <c r="B6357" s="5" t="s">
        <v>5599</v>
      </c>
      <c r="C6357" s="5" t="s">
        <v>11</v>
      </c>
      <c r="D6357" s="5" t="s">
        <v>12</v>
      </c>
      <c r="E6357" s="5" t="s">
        <v>3962</v>
      </c>
    </row>
    <row r="6358" spans="1:5" x14ac:dyDescent="0.25">
      <c r="A6358" s="5">
        <f>6350</f>
      </c>
      <c r="B6358" s="5" t="s">
        <v>5600</v>
      </c>
      <c r="C6358" s="5" t="s">
        <v>11</v>
      </c>
      <c r="D6358" s="5" t="s">
        <v>12</v>
      </c>
      <c r="E6358" s="5" t="s">
        <v>3962</v>
      </c>
    </row>
    <row r="6359" spans="1:5" x14ac:dyDescent="0.25">
      <c r="A6359" s="5">
        <f>6351</f>
      </c>
      <c r="B6359" s="5" t="s">
        <v>5601</v>
      </c>
      <c r="C6359" s="5" t="s">
        <v>11</v>
      </c>
      <c r="D6359" s="5" t="s">
        <v>12</v>
      </c>
      <c r="E6359" s="5" t="s">
        <v>3962</v>
      </c>
    </row>
    <row r="6360" spans="1:5" x14ac:dyDescent="0.25">
      <c r="A6360" s="5">
        <f>6352</f>
      </c>
      <c r="B6360" s="5" t="s">
        <v>5602</v>
      </c>
      <c r="C6360" s="5" t="s">
        <v>11</v>
      </c>
      <c r="D6360" s="5" t="s">
        <v>12</v>
      </c>
      <c r="E6360" s="5" t="s">
        <v>3962</v>
      </c>
    </row>
    <row r="6361" spans="1:5" x14ac:dyDescent="0.25">
      <c r="A6361" s="5">
        <f>6353</f>
      </c>
      <c r="B6361" s="5" t="s">
        <v>5603</v>
      </c>
      <c r="C6361" s="5" t="s">
        <v>11</v>
      </c>
      <c r="D6361" s="5" t="s">
        <v>12</v>
      </c>
      <c r="E6361" s="5" t="s">
        <v>3962</v>
      </c>
    </row>
    <row r="6362" spans="1:5" x14ac:dyDescent="0.25">
      <c r="A6362" s="5">
        <f>6354</f>
      </c>
      <c r="B6362" s="5" t="s">
        <v>5604</v>
      </c>
      <c r="C6362" s="5" t="s">
        <v>11</v>
      </c>
      <c r="D6362" s="5" t="s">
        <v>12</v>
      </c>
      <c r="E6362" s="5" t="s">
        <v>3962</v>
      </c>
    </row>
    <row r="6363" spans="1:5" x14ac:dyDescent="0.25">
      <c r="A6363" s="5">
        <f>6355</f>
      </c>
      <c r="B6363" s="5" t="s">
        <v>5605</v>
      </c>
      <c r="C6363" s="5" t="s">
        <v>11</v>
      </c>
      <c r="D6363" s="5" t="s">
        <v>12</v>
      </c>
      <c r="E6363" s="5" t="s">
        <v>3962</v>
      </c>
    </row>
    <row r="6364" spans="1:5" x14ac:dyDescent="0.25">
      <c r="A6364" s="5">
        <f>6356</f>
      </c>
      <c r="B6364" s="5" t="s">
        <v>5606</v>
      </c>
      <c r="C6364" s="5" t="s">
        <v>11</v>
      </c>
      <c r="D6364" s="5" t="s">
        <v>12</v>
      </c>
      <c r="E6364" s="5" t="s">
        <v>3962</v>
      </c>
    </row>
    <row r="6365" spans="1:5" x14ac:dyDescent="0.25">
      <c r="A6365" s="5">
        <f>6357</f>
      </c>
      <c r="B6365" s="5" t="s">
        <v>5607</v>
      </c>
      <c r="C6365" s="5" t="s">
        <v>11</v>
      </c>
      <c r="D6365" s="5" t="s">
        <v>12</v>
      </c>
      <c r="E6365" s="5" t="s">
        <v>3962</v>
      </c>
    </row>
    <row r="6366" spans="1:5" x14ac:dyDescent="0.25">
      <c r="A6366" s="5">
        <f>6358</f>
      </c>
      <c r="B6366" s="5" t="s">
        <v>5608</v>
      </c>
      <c r="C6366" s="5" t="s">
        <v>11</v>
      </c>
      <c r="D6366" s="5" t="s">
        <v>12</v>
      </c>
      <c r="E6366" s="5" t="s">
        <v>3962</v>
      </c>
    </row>
    <row r="6367" spans="1:5" x14ac:dyDescent="0.25">
      <c r="A6367" s="5">
        <f>6359</f>
      </c>
      <c r="B6367" s="5" t="s">
        <v>5609</v>
      </c>
      <c r="C6367" s="5" t="s">
        <v>11</v>
      </c>
      <c r="D6367" s="5" t="s">
        <v>12</v>
      </c>
      <c r="E6367" s="5" t="s">
        <v>3962</v>
      </c>
    </row>
    <row r="6368" spans="1:5" x14ac:dyDescent="0.25">
      <c r="A6368" s="5">
        <f>6360</f>
      </c>
      <c r="B6368" s="5" t="s">
        <v>5610</v>
      </c>
      <c r="C6368" s="5" t="s">
        <v>11</v>
      </c>
      <c r="D6368" s="5" t="s">
        <v>12</v>
      </c>
      <c r="E6368" s="5" t="s">
        <v>3962</v>
      </c>
    </row>
    <row r="6369" spans="1:5" x14ac:dyDescent="0.25">
      <c r="A6369" s="5">
        <f>6361</f>
      </c>
      <c r="B6369" s="5" t="s">
        <v>5611</v>
      </c>
      <c r="C6369" s="5" t="s">
        <v>11</v>
      </c>
      <c r="D6369" s="5" t="s">
        <v>12</v>
      </c>
      <c r="E6369" s="5" t="s">
        <v>3962</v>
      </c>
    </row>
    <row r="6370" spans="1:5" x14ac:dyDescent="0.25">
      <c r="A6370" s="5">
        <f>6362</f>
      </c>
      <c r="B6370" s="5" t="s">
        <v>5612</v>
      </c>
      <c r="C6370" s="5" t="s">
        <v>11</v>
      </c>
      <c r="D6370" s="5" t="s">
        <v>12</v>
      </c>
      <c r="E6370" s="5" t="s">
        <v>3962</v>
      </c>
    </row>
    <row r="6371" spans="1:5" x14ac:dyDescent="0.25">
      <c r="A6371" s="5">
        <f>6363</f>
      </c>
      <c r="B6371" s="5" t="s">
        <v>5613</v>
      </c>
      <c r="C6371" s="5" t="s">
        <v>11</v>
      </c>
      <c r="D6371" s="5" t="s">
        <v>12</v>
      </c>
      <c r="E6371" s="5" t="s">
        <v>3962</v>
      </c>
    </row>
    <row r="6372" spans="1:5" x14ac:dyDescent="0.25">
      <c r="A6372" s="5">
        <f>6364</f>
      </c>
      <c r="B6372" s="5" t="s">
        <v>5614</v>
      </c>
      <c r="C6372" s="5" t="s">
        <v>11</v>
      </c>
      <c r="D6372" s="5" t="s">
        <v>12</v>
      </c>
      <c r="E6372" s="5" t="s">
        <v>3962</v>
      </c>
    </row>
    <row r="6373" spans="1:5" x14ac:dyDescent="0.25">
      <c r="A6373" s="5">
        <f>6365</f>
      </c>
      <c r="B6373" s="5" t="s">
        <v>5615</v>
      </c>
      <c r="C6373" s="5" t="s">
        <v>11</v>
      </c>
      <c r="D6373" s="5" t="s">
        <v>12</v>
      </c>
      <c r="E6373" s="5" t="s">
        <v>3962</v>
      </c>
    </row>
    <row r="6374" spans="1:5" x14ac:dyDescent="0.25">
      <c r="A6374" s="5">
        <f>6366</f>
      </c>
      <c r="B6374" s="5" t="s">
        <v>5616</v>
      </c>
      <c r="C6374" s="5" t="s">
        <v>11</v>
      </c>
      <c r="D6374" s="5" t="s">
        <v>12</v>
      </c>
      <c r="E6374" s="5" t="s">
        <v>3962</v>
      </c>
    </row>
    <row r="6375" spans="1:5" x14ac:dyDescent="0.25">
      <c r="A6375" s="5">
        <f>6367</f>
      </c>
      <c r="B6375" s="5" t="s">
        <v>5617</v>
      </c>
      <c r="C6375" s="5" t="s">
        <v>11</v>
      </c>
      <c r="D6375" s="5" t="s">
        <v>12</v>
      </c>
      <c r="E6375" s="5" t="s">
        <v>3962</v>
      </c>
    </row>
    <row r="6376" spans="1:5" x14ac:dyDescent="0.25">
      <c r="A6376" s="5">
        <f>6368</f>
      </c>
      <c r="B6376" s="5" t="s">
        <v>5618</v>
      </c>
      <c r="C6376" s="5" t="s">
        <v>11</v>
      </c>
      <c r="D6376" s="5" t="s">
        <v>12</v>
      </c>
      <c r="E6376" s="5" t="s">
        <v>3962</v>
      </c>
    </row>
    <row r="6377" spans="1:5" x14ac:dyDescent="0.25">
      <c r="A6377" s="5">
        <f>6369</f>
      </c>
      <c r="B6377" s="5" t="s">
        <v>5619</v>
      </c>
      <c r="C6377" s="5" t="s">
        <v>11</v>
      </c>
      <c r="D6377" s="5" t="s">
        <v>12</v>
      </c>
      <c r="E6377" s="5" t="s">
        <v>3962</v>
      </c>
    </row>
    <row r="6378" spans="1:5" x14ac:dyDescent="0.25">
      <c r="A6378" s="5">
        <f>6370</f>
      </c>
      <c r="B6378" s="5" t="s">
        <v>5620</v>
      </c>
      <c r="C6378" s="5" t="s">
        <v>11</v>
      </c>
      <c r="D6378" s="5" t="s">
        <v>12</v>
      </c>
      <c r="E6378" s="5" t="s">
        <v>3962</v>
      </c>
    </row>
    <row r="6379" spans="1:5" x14ac:dyDescent="0.25">
      <c r="A6379" s="5">
        <f>6371</f>
      </c>
      <c r="B6379" s="5" t="s">
        <v>5621</v>
      </c>
      <c r="C6379" s="5" t="s">
        <v>11</v>
      </c>
      <c r="D6379" s="5" t="s">
        <v>12</v>
      </c>
      <c r="E6379" s="5" t="s">
        <v>3962</v>
      </c>
    </row>
    <row r="6380" spans="1:5" x14ac:dyDescent="0.25">
      <c r="A6380" s="5">
        <f>6372</f>
      </c>
      <c r="B6380" s="5" t="s">
        <v>5622</v>
      </c>
      <c r="C6380" s="5" t="s">
        <v>11</v>
      </c>
      <c r="D6380" s="5" t="s">
        <v>12</v>
      </c>
      <c r="E6380" s="5" t="s">
        <v>3962</v>
      </c>
    </row>
    <row r="6381" spans="1:5" x14ac:dyDescent="0.25">
      <c r="A6381" s="5">
        <f>6373</f>
      </c>
      <c r="B6381" s="5" t="s">
        <v>5623</v>
      </c>
      <c r="C6381" s="5" t="s">
        <v>11</v>
      </c>
      <c r="D6381" s="5" t="s">
        <v>12</v>
      </c>
      <c r="E6381" s="5" t="s">
        <v>3962</v>
      </c>
    </row>
    <row r="6382" spans="1:5" x14ac:dyDescent="0.25">
      <c r="A6382" s="5">
        <f>6374</f>
      </c>
      <c r="B6382" s="5" t="s">
        <v>5624</v>
      </c>
      <c r="C6382" s="5" t="s">
        <v>11</v>
      </c>
      <c r="D6382" s="5" t="s">
        <v>12</v>
      </c>
      <c r="E6382" s="5" t="s">
        <v>3962</v>
      </c>
    </row>
    <row r="6383" spans="1:5" x14ac:dyDescent="0.25">
      <c r="A6383" s="5">
        <f>6375</f>
      </c>
      <c r="B6383" s="5" t="s">
        <v>5625</v>
      </c>
      <c r="C6383" s="5" t="s">
        <v>11</v>
      </c>
      <c r="D6383" s="5" t="s">
        <v>12</v>
      </c>
      <c r="E6383" s="5" t="s">
        <v>3962</v>
      </c>
    </row>
    <row r="6384" spans="1:5" x14ac:dyDescent="0.25">
      <c r="A6384" s="5">
        <f>6376</f>
      </c>
      <c r="B6384" s="5" t="s">
        <v>5626</v>
      </c>
      <c r="C6384" s="5" t="s">
        <v>11</v>
      </c>
      <c r="D6384" s="5" t="s">
        <v>12</v>
      </c>
      <c r="E6384" s="5" t="s">
        <v>3962</v>
      </c>
    </row>
    <row r="6385" spans="1:5" x14ac:dyDescent="0.25">
      <c r="A6385" s="5">
        <f>6377</f>
      </c>
      <c r="B6385" s="5" t="s">
        <v>5627</v>
      </c>
      <c r="C6385" s="5" t="s">
        <v>11</v>
      </c>
      <c r="D6385" s="5" t="s">
        <v>12</v>
      </c>
      <c r="E6385" s="5" t="s">
        <v>3962</v>
      </c>
    </row>
    <row r="6386" spans="1:5" x14ac:dyDescent="0.25">
      <c r="A6386" s="5">
        <f>6378</f>
      </c>
      <c r="B6386" s="5" t="s">
        <v>5628</v>
      </c>
      <c r="C6386" s="5" t="s">
        <v>11</v>
      </c>
      <c r="D6386" s="5" t="s">
        <v>12</v>
      </c>
      <c r="E6386" s="5" t="s">
        <v>3962</v>
      </c>
    </row>
    <row r="6387" spans="1:5" x14ac:dyDescent="0.25">
      <c r="A6387" s="5">
        <f>6379</f>
      </c>
      <c r="B6387" s="5" t="s">
        <v>5629</v>
      </c>
      <c r="C6387" s="5" t="s">
        <v>11</v>
      </c>
      <c r="D6387" s="5" t="s">
        <v>12</v>
      </c>
      <c r="E6387" s="5" t="s">
        <v>3962</v>
      </c>
    </row>
    <row r="6388" spans="1:5" x14ac:dyDescent="0.25">
      <c r="A6388" s="5">
        <f>6380</f>
      </c>
      <c r="B6388" s="5" t="s">
        <v>5630</v>
      </c>
      <c r="C6388" s="5" t="s">
        <v>11</v>
      </c>
      <c r="D6388" s="5" t="s">
        <v>12</v>
      </c>
      <c r="E6388" s="5" t="s">
        <v>3962</v>
      </c>
    </row>
    <row r="6389" spans="1:5" x14ac:dyDescent="0.25">
      <c r="A6389" s="5">
        <f>6381</f>
      </c>
      <c r="B6389" s="5" t="s">
        <v>5631</v>
      </c>
      <c r="C6389" s="5" t="s">
        <v>11</v>
      </c>
      <c r="D6389" s="5" t="s">
        <v>12</v>
      </c>
      <c r="E6389" s="5" t="s">
        <v>3962</v>
      </c>
    </row>
    <row r="6390" spans="1:5" x14ac:dyDescent="0.25">
      <c r="A6390" s="5">
        <f>6382</f>
      </c>
      <c r="B6390" s="5" t="s">
        <v>5632</v>
      </c>
      <c r="C6390" s="5" t="s">
        <v>11</v>
      </c>
      <c r="D6390" s="5" t="s">
        <v>12</v>
      </c>
      <c r="E6390" s="5" t="s">
        <v>3962</v>
      </c>
    </row>
    <row r="6391" spans="1:5" x14ac:dyDescent="0.25">
      <c r="A6391" s="5">
        <f>6383</f>
      </c>
      <c r="B6391" s="5" t="s">
        <v>5633</v>
      </c>
      <c r="C6391" s="5" t="s">
        <v>11</v>
      </c>
      <c r="D6391" s="5" t="s">
        <v>12</v>
      </c>
      <c r="E6391" s="5" t="s">
        <v>3962</v>
      </c>
    </row>
    <row r="6392" spans="1:5" x14ac:dyDescent="0.25">
      <c r="A6392" s="5">
        <f>6384</f>
      </c>
      <c r="B6392" s="5" t="s">
        <v>5634</v>
      </c>
      <c r="C6392" s="5" t="s">
        <v>11</v>
      </c>
      <c r="D6392" s="5" t="s">
        <v>12</v>
      </c>
      <c r="E6392" s="5" t="s">
        <v>3962</v>
      </c>
    </row>
    <row r="6393" spans="1:5" x14ac:dyDescent="0.25">
      <c r="A6393" s="5">
        <f>6385</f>
      </c>
      <c r="B6393" s="5" t="s">
        <v>5635</v>
      </c>
      <c r="C6393" s="5" t="s">
        <v>11</v>
      </c>
      <c r="D6393" s="5" t="s">
        <v>12</v>
      </c>
      <c r="E6393" s="5" t="s">
        <v>3962</v>
      </c>
    </row>
    <row r="6394" spans="1:5" x14ac:dyDescent="0.25">
      <c r="A6394" s="5">
        <f>6386</f>
      </c>
      <c r="B6394" s="5" t="s">
        <v>5636</v>
      </c>
      <c r="C6394" s="5" t="s">
        <v>11</v>
      </c>
      <c r="D6394" s="5" t="s">
        <v>12</v>
      </c>
      <c r="E6394" s="5" t="s">
        <v>3962</v>
      </c>
    </row>
    <row r="6395" spans="1:5" x14ac:dyDescent="0.25">
      <c r="A6395" s="5">
        <f>6387</f>
      </c>
      <c r="B6395" s="5" t="s">
        <v>5637</v>
      </c>
      <c r="C6395" s="5" t="s">
        <v>11</v>
      </c>
      <c r="D6395" s="5" t="s">
        <v>12</v>
      </c>
      <c r="E6395" s="5" t="s">
        <v>3962</v>
      </c>
    </row>
    <row r="6396" spans="1:5" x14ac:dyDescent="0.25">
      <c r="A6396" s="5">
        <f>6388</f>
      </c>
      <c r="B6396" s="5" t="s">
        <v>5638</v>
      </c>
      <c r="C6396" s="5" t="s">
        <v>11</v>
      </c>
      <c r="D6396" s="5" t="s">
        <v>12</v>
      </c>
      <c r="E6396" s="5" t="s">
        <v>3962</v>
      </c>
    </row>
    <row r="6397" spans="1:5" x14ac:dyDescent="0.25">
      <c r="A6397" s="5">
        <f>6389</f>
      </c>
      <c r="B6397" s="5" t="s">
        <v>5639</v>
      </c>
      <c r="C6397" s="5" t="s">
        <v>11</v>
      </c>
      <c r="D6397" s="5" t="s">
        <v>12</v>
      </c>
      <c r="E6397" s="5" t="s">
        <v>3962</v>
      </c>
    </row>
    <row r="6398" spans="1:5" x14ac:dyDescent="0.25">
      <c r="A6398" s="5">
        <f>6390</f>
      </c>
      <c r="B6398" s="5" t="s">
        <v>5640</v>
      </c>
      <c r="C6398" s="5" t="s">
        <v>11</v>
      </c>
      <c r="D6398" s="5" t="s">
        <v>12</v>
      </c>
      <c r="E6398" s="5" t="s">
        <v>3962</v>
      </c>
    </row>
    <row r="6399" spans="1:5" x14ac:dyDescent="0.25">
      <c r="A6399" s="5">
        <f>6391</f>
      </c>
      <c r="B6399" s="5" t="s">
        <v>5641</v>
      </c>
      <c r="C6399" s="5" t="s">
        <v>11</v>
      </c>
      <c r="D6399" s="5" t="s">
        <v>12</v>
      </c>
      <c r="E6399" s="5" t="s">
        <v>3962</v>
      </c>
    </row>
    <row r="6400" spans="1:5" x14ac:dyDescent="0.25">
      <c r="A6400" s="5">
        <f>6392</f>
      </c>
      <c r="B6400" s="5" t="s">
        <v>5642</v>
      </c>
      <c r="C6400" s="5" t="s">
        <v>11</v>
      </c>
      <c r="D6400" s="5" t="s">
        <v>12</v>
      </c>
      <c r="E6400" s="5" t="s">
        <v>3962</v>
      </c>
    </row>
    <row r="6401" spans="1:5" x14ac:dyDescent="0.25">
      <c r="A6401" s="5">
        <f>6393</f>
      </c>
      <c r="B6401" s="5" t="s">
        <v>5643</v>
      </c>
      <c r="C6401" s="5" t="s">
        <v>11</v>
      </c>
      <c r="D6401" s="5" t="s">
        <v>12</v>
      </c>
      <c r="E6401" s="5" t="s">
        <v>3962</v>
      </c>
    </row>
    <row r="6402" spans="1:5" x14ac:dyDescent="0.25">
      <c r="A6402" s="5">
        <f>6394</f>
      </c>
      <c r="B6402" s="5" t="s">
        <v>5644</v>
      </c>
      <c r="C6402" s="5" t="s">
        <v>11</v>
      </c>
      <c r="D6402" s="5" t="s">
        <v>12</v>
      </c>
      <c r="E6402" s="5" t="s">
        <v>3962</v>
      </c>
    </row>
    <row r="6403" spans="1:5" x14ac:dyDescent="0.25">
      <c r="A6403" s="5">
        <f>6395</f>
      </c>
      <c r="B6403" s="5" t="s">
        <v>5645</v>
      </c>
      <c r="C6403" s="5" t="s">
        <v>11</v>
      </c>
      <c r="D6403" s="5" t="s">
        <v>12</v>
      </c>
      <c r="E6403" s="5" t="s">
        <v>3962</v>
      </c>
    </row>
    <row r="6404" spans="1:5" x14ac:dyDescent="0.25">
      <c r="A6404" s="5">
        <f>6396</f>
      </c>
      <c r="B6404" s="5" t="s">
        <v>5646</v>
      </c>
      <c r="C6404" s="5" t="s">
        <v>11</v>
      </c>
      <c r="D6404" s="5" t="s">
        <v>12</v>
      </c>
      <c r="E6404" s="5" t="s">
        <v>3962</v>
      </c>
    </row>
    <row r="6405" spans="1:5" x14ac:dyDescent="0.25">
      <c r="A6405" s="5">
        <f>6397</f>
      </c>
      <c r="B6405" s="5" t="s">
        <v>5647</v>
      </c>
      <c r="C6405" s="5" t="s">
        <v>11</v>
      </c>
      <c r="D6405" s="5" t="s">
        <v>12</v>
      </c>
      <c r="E6405" s="5" t="s">
        <v>3962</v>
      </c>
    </row>
    <row r="6406" spans="1:5" x14ac:dyDescent="0.25">
      <c r="A6406" s="5">
        <f>6398</f>
      </c>
      <c r="B6406" s="5" t="s">
        <v>5648</v>
      </c>
      <c r="C6406" s="5" t="s">
        <v>11</v>
      </c>
      <c r="D6406" s="5" t="s">
        <v>12</v>
      </c>
      <c r="E6406" s="5" t="s">
        <v>3962</v>
      </c>
    </row>
    <row r="6407" spans="1:5" x14ac:dyDescent="0.25">
      <c r="A6407" s="5">
        <f>6399</f>
      </c>
      <c r="B6407" s="5" t="s">
        <v>5649</v>
      </c>
      <c r="C6407" s="5" t="s">
        <v>11</v>
      </c>
      <c r="D6407" s="5" t="s">
        <v>12</v>
      </c>
      <c r="E6407" s="5" t="s">
        <v>3962</v>
      </c>
    </row>
    <row r="6408" spans="1:5" x14ac:dyDescent="0.25">
      <c r="A6408" s="5">
        <f>6400</f>
      </c>
      <c r="B6408" s="5" t="s">
        <v>5650</v>
      </c>
      <c r="C6408" s="5" t="s">
        <v>11</v>
      </c>
      <c r="D6408" s="5" t="s">
        <v>12</v>
      </c>
      <c r="E6408" s="5" t="s">
        <v>3962</v>
      </c>
    </row>
    <row r="6409" spans="1:5" x14ac:dyDescent="0.25">
      <c r="A6409" s="5">
        <f>6401</f>
      </c>
      <c r="B6409" s="5" t="s">
        <v>5651</v>
      </c>
      <c r="C6409" s="5" t="s">
        <v>11</v>
      </c>
      <c r="D6409" s="5" t="s">
        <v>12</v>
      </c>
      <c r="E6409" s="5" t="s">
        <v>3962</v>
      </c>
    </row>
    <row r="6410" spans="1:5" x14ac:dyDescent="0.25">
      <c r="A6410" s="5">
        <f>6402</f>
      </c>
      <c r="B6410" s="5" t="s">
        <v>5652</v>
      </c>
      <c r="C6410" s="5" t="s">
        <v>11</v>
      </c>
      <c r="D6410" s="5" t="s">
        <v>12</v>
      </c>
      <c r="E6410" s="5" t="s">
        <v>3962</v>
      </c>
    </row>
    <row r="6411" spans="1:5" x14ac:dyDescent="0.25">
      <c r="A6411" s="5">
        <f>6403</f>
      </c>
      <c r="B6411" s="5" t="s">
        <v>5653</v>
      </c>
      <c r="C6411" s="5" t="s">
        <v>11</v>
      </c>
      <c r="D6411" s="5" t="s">
        <v>12</v>
      </c>
      <c r="E6411" s="5" t="s">
        <v>3962</v>
      </c>
    </row>
    <row r="6412" spans="1:5" x14ac:dyDescent="0.25">
      <c r="A6412" s="5">
        <f>6404</f>
      </c>
      <c r="B6412" s="5" t="s">
        <v>5654</v>
      </c>
      <c r="C6412" s="5" t="s">
        <v>11</v>
      </c>
      <c r="D6412" s="5" t="s">
        <v>12</v>
      </c>
      <c r="E6412" s="5" t="s">
        <v>3962</v>
      </c>
    </row>
    <row r="6413" spans="1:5" x14ac:dyDescent="0.25">
      <c r="A6413" s="5">
        <f>6405</f>
      </c>
      <c r="B6413" s="5" t="s">
        <v>5655</v>
      </c>
      <c r="C6413" s="5" t="s">
        <v>11</v>
      </c>
      <c r="D6413" s="5" t="s">
        <v>12</v>
      </c>
      <c r="E6413" s="5" t="s">
        <v>3962</v>
      </c>
    </row>
    <row r="6414" spans="1:5" x14ac:dyDescent="0.25">
      <c r="A6414" s="5">
        <f>6406</f>
      </c>
      <c r="B6414" s="5" t="s">
        <v>5656</v>
      </c>
      <c r="C6414" s="5" t="s">
        <v>11</v>
      </c>
      <c r="D6414" s="5" t="s">
        <v>12</v>
      </c>
      <c r="E6414" s="5" t="s">
        <v>3962</v>
      </c>
    </row>
    <row r="6415" spans="1:5" x14ac:dyDescent="0.25">
      <c r="A6415" s="5">
        <f>6407</f>
      </c>
      <c r="B6415" s="5" t="s">
        <v>5657</v>
      </c>
      <c r="C6415" s="5" t="s">
        <v>11</v>
      </c>
      <c r="D6415" s="5" t="s">
        <v>12</v>
      </c>
      <c r="E6415" s="5" t="s">
        <v>3962</v>
      </c>
    </row>
    <row r="6416" spans="1:5" x14ac:dyDescent="0.25">
      <c r="A6416" s="5">
        <f>6408</f>
      </c>
      <c r="B6416" s="5" t="s">
        <v>5658</v>
      </c>
      <c r="C6416" s="5" t="s">
        <v>11</v>
      </c>
      <c r="D6416" s="5" t="s">
        <v>12</v>
      </c>
      <c r="E6416" s="5" t="s">
        <v>3962</v>
      </c>
    </row>
    <row r="6417" spans="1:5" x14ac:dyDescent="0.25">
      <c r="A6417" s="5">
        <f>6409</f>
      </c>
      <c r="B6417" s="5" t="s">
        <v>5659</v>
      </c>
      <c r="C6417" s="5" t="s">
        <v>11</v>
      </c>
      <c r="D6417" s="5" t="s">
        <v>12</v>
      </c>
      <c r="E6417" s="5" t="s">
        <v>3962</v>
      </c>
    </row>
    <row r="6418" spans="1:5" x14ac:dyDescent="0.25">
      <c r="A6418" s="5">
        <f>6410</f>
      </c>
      <c r="B6418" s="5" t="s">
        <v>5660</v>
      </c>
      <c r="C6418" s="5" t="s">
        <v>11</v>
      </c>
      <c r="D6418" s="5" t="s">
        <v>12</v>
      </c>
      <c r="E6418" s="5" t="s">
        <v>3962</v>
      </c>
    </row>
    <row r="6419" spans="1:5" x14ac:dyDescent="0.25">
      <c r="A6419" s="5">
        <f>6411</f>
      </c>
      <c r="B6419" s="5" t="s">
        <v>5661</v>
      </c>
      <c r="C6419" s="5" t="s">
        <v>11</v>
      </c>
      <c r="D6419" s="5" t="s">
        <v>12</v>
      </c>
      <c r="E6419" s="5" t="s">
        <v>3962</v>
      </c>
    </row>
    <row r="6420" spans="1:5" x14ac:dyDescent="0.25">
      <c r="A6420" s="5">
        <f>6412</f>
      </c>
      <c r="B6420" s="5" t="s">
        <v>5662</v>
      </c>
      <c r="C6420" s="5" t="s">
        <v>11</v>
      </c>
      <c r="D6420" s="5" t="s">
        <v>12</v>
      </c>
      <c r="E6420" s="5" t="s">
        <v>3962</v>
      </c>
    </row>
    <row r="6421" spans="1:5" x14ac:dyDescent="0.25">
      <c r="A6421" s="5">
        <f>6413</f>
      </c>
      <c r="B6421" s="5" t="s">
        <v>5663</v>
      </c>
      <c r="C6421" s="5" t="s">
        <v>11</v>
      </c>
      <c r="D6421" s="5" t="s">
        <v>12</v>
      </c>
      <c r="E6421" s="5" t="s">
        <v>3962</v>
      </c>
    </row>
    <row r="6422" spans="1:5" x14ac:dyDescent="0.25">
      <c r="A6422" s="5">
        <f>6414</f>
      </c>
      <c r="B6422" s="5" t="s">
        <v>5664</v>
      </c>
      <c r="C6422" s="5" t="s">
        <v>11</v>
      </c>
      <c r="D6422" s="5" t="s">
        <v>12</v>
      </c>
      <c r="E6422" s="5" t="s">
        <v>3962</v>
      </c>
    </row>
    <row r="6423" spans="1:5" x14ac:dyDescent="0.25">
      <c r="A6423" s="5">
        <f>6415</f>
      </c>
      <c r="B6423" s="5" t="s">
        <v>5665</v>
      </c>
      <c r="C6423" s="5" t="s">
        <v>11</v>
      </c>
      <c r="D6423" s="5" t="s">
        <v>12</v>
      </c>
      <c r="E6423" s="5" t="s">
        <v>3962</v>
      </c>
    </row>
    <row r="6424" spans="1:5" x14ac:dyDescent="0.25">
      <c r="A6424" s="5">
        <f>6416</f>
      </c>
      <c r="B6424" s="5" t="s">
        <v>5666</v>
      </c>
      <c r="C6424" s="5" t="s">
        <v>11</v>
      </c>
      <c r="D6424" s="5" t="s">
        <v>12</v>
      </c>
      <c r="E6424" s="5" t="s">
        <v>3962</v>
      </c>
    </row>
    <row r="6425" spans="1:5" x14ac:dyDescent="0.25">
      <c r="A6425" s="5">
        <f>6417</f>
      </c>
      <c r="B6425" s="5" t="s">
        <v>5667</v>
      </c>
      <c r="C6425" s="5" t="s">
        <v>11</v>
      </c>
      <c r="D6425" s="5" t="s">
        <v>12</v>
      </c>
      <c r="E6425" s="5" t="s">
        <v>3962</v>
      </c>
    </row>
    <row r="6426" spans="1:5" x14ac:dyDescent="0.25">
      <c r="A6426" s="5">
        <f>6418</f>
      </c>
      <c r="B6426" s="5" t="s">
        <v>5668</v>
      </c>
      <c r="C6426" s="5" t="s">
        <v>11</v>
      </c>
      <c r="D6426" s="5" t="s">
        <v>12</v>
      </c>
      <c r="E6426" s="5" t="s">
        <v>3962</v>
      </c>
    </row>
    <row r="6427" spans="1:5" x14ac:dyDescent="0.25">
      <c r="A6427" s="5">
        <f>6419</f>
      </c>
      <c r="B6427" s="5" t="s">
        <v>5669</v>
      </c>
      <c r="C6427" s="5" t="s">
        <v>11</v>
      </c>
      <c r="D6427" s="5" t="s">
        <v>12</v>
      </c>
      <c r="E6427" s="5" t="s">
        <v>3962</v>
      </c>
    </row>
    <row r="6428" spans="1:5" x14ac:dyDescent="0.25">
      <c r="A6428" s="5">
        <f>6420</f>
      </c>
      <c r="B6428" s="5" t="s">
        <v>5670</v>
      </c>
      <c r="C6428" s="5" t="s">
        <v>11</v>
      </c>
      <c r="D6428" s="5" t="s">
        <v>12</v>
      </c>
      <c r="E6428" s="5" t="s">
        <v>3962</v>
      </c>
    </row>
    <row r="6429" spans="1:5" x14ac:dyDescent="0.25">
      <c r="A6429" s="5">
        <f>6421</f>
      </c>
      <c r="B6429" s="5" t="s">
        <v>5671</v>
      </c>
      <c r="C6429" s="5" t="s">
        <v>11</v>
      </c>
      <c r="D6429" s="5" t="s">
        <v>12</v>
      </c>
      <c r="E6429" s="5" t="s">
        <v>3962</v>
      </c>
    </row>
    <row r="6430" spans="1:5" x14ac:dyDescent="0.25">
      <c r="A6430" s="5">
        <f>6422</f>
      </c>
      <c r="B6430" s="5" t="s">
        <v>5672</v>
      </c>
      <c r="C6430" s="5" t="s">
        <v>11</v>
      </c>
      <c r="D6430" s="5" t="s">
        <v>12</v>
      </c>
      <c r="E6430" s="5" t="s">
        <v>3962</v>
      </c>
    </row>
    <row r="6431" spans="1:5" x14ac:dyDescent="0.25">
      <c r="A6431" s="5">
        <f>6423</f>
      </c>
      <c r="B6431" s="5" t="s">
        <v>5673</v>
      </c>
      <c r="C6431" s="5" t="s">
        <v>11</v>
      </c>
      <c r="D6431" s="5" t="s">
        <v>12</v>
      </c>
      <c r="E6431" s="5" t="s">
        <v>3962</v>
      </c>
    </row>
    <row r="6432" spans="1:5" x14ac:dyDescent="0.25">
      <c r="A6432" s="5">
        <f>6424</f>
      </c>
      <c r="B6432" s="5" t="s">
        <v>5674</v>
      </c>
      <c r="C6432" s="5" t="s">
        <v>11</v>
      </c>
      <c r="D6432" s="5" t="s">
        <v>12</v>
      </c>
      <c r="E6432" s="5" t="s">
        <v>3962</v>
      </c>
    </row>
    <row r="6433" spans="1:5" x14ac:dyDescent="0.25">
      <c r="A6433" s="5">
        <f>6425</f>
      </c>
      <c r="B6433" s="5" t="s">
        <v>5675</v>
      </c>
      <c r="C6433" s="5" t="s">
        <v>11</v>
      </c>
      <c r="D6433" s="5" t="s">
        <v>12</v>
      </c>
      <c r="E6433" s="5" t="s">
        <v>3962</v>
      </c>
    </row>
    <row r="6434" spans="1:5" x14ac:dyDescent="0.25">
      <c r="A6434" s="5">
        <f>6426</f>
      </c>
      <c r="B6434" s="5" t="s">
        <v>5676</v>
      </c>
      <c r="C6434" s="5" t="s">
        <v>11</v>
      </c>
      <c r="D6434" s="5" t="s">
        <v>12</v>
      </c>
      <c r="E6434" s="5" t="s">
        <v>3962</v>
      </c>
    </row>
    <row r="6435" spans="1:5" x14ac:dyDescent="0.25">
      <c r="A6435" s="5">
        <f>6427</f>
      </c>
      <c r="B6435" s="5" t="s">
        <v>5677</v>
      </c>
      <c r="C6435" s="5" t="s">
        <v>11</v>
      </c>
      <c r="D6435" s="5" t="s">
        <v>12</v>
      </c>
      <c r="E6435" s="5" t="s">
        <v>3962</v>
      </c>
    </row>
    <row r="6436" spans="1:5" x14ac:dyDescent="0.25">
      <c r="A6436" s="5">
        <f>6428</f>
      </c>
      <c r="B6436" s="5" t="s">
        <v>5678</v>
      </c>
      <c r="C6436" s="5" t="s">
        <v>11</v>
      </c>
      <c r="D6436" s="5" t="s">
        <v>12</v>
      </c>
      <c r="E6436" s="5" t="s">
        <v>3962</v>
      </c>
    </row>
    <row r="6437" spans="1:5" x14ac:dyDescent="0.25">
      <c r="A6437" s="5">
        <f>6429</f>
      </c>
      <c r="B6437" s="5" t="s">
        <v>5679</v>
      </c>
      <c r="C6437" s="5" t="s">
        <v>11</v>
      </c>
      <c r="D6437" s="5" t="s">
        <v>12</v>
      </c>
      <c r="E6437" s="5" t="s">
        <v>3962</v>
      </c>
    </row>
    <row r="6438" spans="1:5" x14ac:dyDescent="0.25">
      <c r="A6438" s="5">
        <f>6430</f>
      </c>
      <c r="B6438" s="5" t="s">
        <v>5680</v>
      </c>
      <c r="C6438" s="5" t="s">
        <v>11</v>
      </c>
      <c r="D6438" s="5" t="s">
        <v>12</v>
      </c>
      <c r="E6438" s="5" t="s">
        <v>3962</v>
      </c>
    </row>
    <row r="6439" spans="1:5" x14ac:dyDescent="0.25">
      <c r="A6439" s="5">
        <f>6431</f>
      </c>
      <c r="B6439" s="5" t="s">
        <v>5681</v>
      </c>
      <c r="C6439" s="5" t="s">
        <v>11</v>
      </c>
      <c r="D6439" s="5" t="s">
        <v>12</v>
      </c>
      <c r="E6439" s="5" t="s">
        <v>3962</v>
      </c>
    </row>
    <row r="6440" spans="1:5" x14ac:dyDescent="0.25">
      <c r="A6440" s="5">
        <f>6432</f>
      </c>
      <c r="B6440" s="5" t="s">
        <v>5682</v>
      </c>
      <c r="C6440" s="5" t="s">
        <v>11</v>
      </c>
      <c r="D6440" s="5" t="s">
        <v>12</v>
      </c>
      <c r="E6440" s="5" t="s">
        <v>3962</v>
      </c>
    </row>
    <row r="6441" spans="1:5" x14ac:dyDescent="0.25">
      <c r="A6441" s="5">
        <f>6433</f>
      </c>
      <c r="B6441" s="5" t="s">
        <v>5683</v>
      </c>
      <c r="C6441" s="5" t="s">
        <v>11</v>
      </c>
      <c r="D6441" s="5" t="s">
        <v>12</v>
      </c>
      <c r="E6441" s="5" t="s">
        <v>3962</v>
      </c>
    </row>
    <row r="6442" spans="1:5" x14ac:dyDescent="0.25">
      <c r="A6442" s="5">
        <f>6434</f>
      </c>
      <c r="B6442" s="5" t="s">
        <v>5684</v>
      </c>
      <c r="C6442" s="5" t="s">
        <v>11</v>
      </c>
      <c r="D6442" s="5" t="s">
        <v>12</v>
      </c>
      <c r="E6442" s="5" t="s">
        <v>3962</v>
      </c>
    </row>
    <row r="6443" spans="1:5" x14ac:dyDescent="0.25">
      <c r="A6443" s="5">
        <f>6435</f>
      </c>
      <c r="B6443" s="5" t="s">
        <v>5685</v>
      </c>
      <c r="C6443" s="5" t="s">
        <v>11</v>
      </c>
      <c r="D6443" s="5" t="s">
        <v>12</v>
      </c>
      <c r="E6443" s="5" t="s">
        <v>3962</v>
      </c>
    </row>
    <row r="6444" spans="1:5" x14ac:dyDescent="0.25">
      <c r="A6444" s="5">
        <f>6436</f>
      </c>
      <c r="B6444" s="5" t="s">
        <v>5686</v>
      </c>
      <c r="C6444" s="5" t="s">
        <v>11</v>
      </c>
      <c r="D6444" s="5" t="s">
        <v>12</v>
      </c>
      <c r="E6444" s="5" t="s">
        <v>3962</v>
      </c>
    </row>
    <row r="6445" spans="1:5" x14ac:dyDescent="0.25">
      <c r="A6445" s="5">
        <f>6437</f>
      </c>
      <c r="B6445" s="5" t="s">
        <v>5687</v>
      </c>
      <c r="C6445" s="5" t="s">
        <v>11</v>
      </c>
      <c r="D6445" s="5" t="s">
        <v>12</v>
      </c>
      <c r="E6445" s="5" t="s">
        <v>3962</v>
      </c>
    </row>
    <row r="6446" spans="1:5" x14ac:dyDescent="0.25">
      <c r="A6446" s="5">
        <f>6438</f>
      </c>
      <c r="B6446" s="5" t="s">
        <v>5688</v>
      </c>
      <c r="C6446" s="5" t="s">
        <v>11</v>
      </c>
      <c r="D6446" s="5" t="s">
        <v>12</v>
      </c>
      <c r="E6446" s="5" t="s">
        <v>3962</v>
      </c>
    </row>
    <row r="6447" spans="1:5" x14ac:dyDescent="0.25">
      <c r="A6447" s="5">
        <f>6439</f>
      </c>
      <c r="B6447" s="5" t="s">
        <v>5689</v>
      </c>
      <c r="C6447" s="5" t="s">
        <v>11</v>
      </c>
      <c r="D6447" s="5" t="s">
        <v>12</v>
      </c>
      <c r="E6447" s="5" t="s">
        <v>3962</v>
      </c>
    </row>
    <row r="6448" spans="1:5" x14ac:dyDescent="0.25">
      <c r="A6448" s="5">
        <f>6440</f>
      </c>
      <c r="B6448" s="5" t="s">
        <v>5690</v>
      </c>
      <c r="C6448" s="5" t="s">
        <v>11</v>
      </c>
      <c r="D6448" s="5" t="s">
        <v>12</v>
      </c>
      <c r="E6448" s="5" t="s">
        <v>3962</v>
      </c>
    </row>
    <row r="6449" spans="1:5" x14ac:dyDescent="0.25">
      <c r="A6449" s="5">
        <f>6441</f>
      </c>
      <c r="B6449" s="5" t="s">
        <v>5691</v>
      </c>
      <c r="C6449" s="5" t="s">
        <v>11</v>
      </c>
      <c r="D6449" s="5" t="s">
        <v>12</v>
      </c>
      <c r="E6449" s="5" t="s">
        <v>3962</v>
      </c>
    </row>
    <row r="6450" spans="1:5" x14ac:dyDescent="0.25">
      <c r="A6450" s="5">
        <f>6442</f>
      </c>
      <c r="B6450" s="5" t="s">
        <v>5692</v>
      </c>
      <c r="C6450" s="5" t="s">
        <v>11</v>
      </c>
      <c r="D6450" s="5" t="s">
        <v>12</v>
      </c>
      <c r="E6450" s="5" t="s">
        <v>3962</v>
      </c>
    </row>
    <row r="6451" spans="1:5" x14ac:dyDescent="0.25">
      <c r="A6451" s="5">
        <f>6443</f>
      </c>
      <c r="B6451" s="5" t="s">
        <v>5693</v>
      </c>
      <c r="C6451" s="5" t="s">
        <v>11</v>
      </c>
      <c r="D6451" s="5" t="s">
        <v>12</v>
      </c>
      <c r="E6451" s="5" t="s">
        <v>3962</v>
      </c>
    </row>
    <row r="6452" spans="1:5" x14ac:dyDescent="0.25">
      <c r="A6452" s="5">
        <f>6444</f>
      </c>
      <c r="B6452" s="5" t="s">
        <v>5694</v>
      </c>
      <c r="C6452" s="5" t="s">
        <v>11</v>
      </c>
      <c r="D6452" s="5" t="s">
        <v>12</v>
      </c>
      <c r="E6452" s="5" t="s">
        <v>3962</v>
      </c>
    </row>
    <row r="6453" spans="1:5" x14ac:dyDescent="0.25">
      <c r="A6453" s="5">
        <f>6445</f>
      </c>
      <c r="B6453" s="5" t="s">
        <v>5695</v>
      </c>
      <c r="C6453" s="5" t="s">
        <v>11</v>
      </c>
      <c r="D6453" s="5" t="s">
        <v>12</v>
      </c>
      <c r="E6453" s="5" t="s">
        <v>3962</v>
      </c>
    </row>
    <row r="6454" spans="1:5" x14ac:dyDescent="0.25">
      <c r="A6454" s="5">
        <f>6446</f>
      </c>
      <c r="B6454" s="5" t="s">
        <v>5696</v>
      </c>
      <c r="C6454" s="5" t="s">
        <v>11</v>
      </c>
      <c r="D6454" s="5" t="s">
        <v>12</v>
      </c>
      <c r="E6454" s="5" t="s">
        <v>3962</v>
      </c>
    </row>
    <row r="6455" spans="1:5" x14ac:dyDescent="0.25">
      <c r="A6455" s="5">
        <f>6447</f>
      </c>
      <c r="B6455" s="5" t="s">
        <v>5697</v>
      </c>
      <c r="C6455" s="5" t="s">
        <v>11</v>
      </c>
      <c r="D6455" s="5" t="s">
        <v>12</v>
      </c>
      <c r="E6455" s="5" t="s">
        <v>3962</v>
      </c>
    </row>
    <row r="6456" spans="1:5" x14ac:dyDescent="0.25">
      <c r="A6456" s="5">
        <f>6448</f>
      </c>
      <c r="B6456" s="5" t="s">
        <v>5698</v>
      </c>
      <c r="C6456" s="5" t="s">
        <v>11</v>
      </c>
      <c r="D6456" s="5" t="s">
        <v>12</v>
      </c>
      <c r="E6456" s="5" t="s">
        <v>3962</v>
      </c>
    </row>
    <row r="6457" spans="1:5" x14ac:dyDescent="0.25">
      <c r="A6457" s="5">
        <f>6449</f>
      </c>
      <c r="B6457" s="5" t="s">
        <v>5699</v>
      </c>
      <c r="C6457" s="5" t="s">
        <v>11</v>
      </c>
      <c r="D6457" s="5" t="s">
        <v>12</v>
      </c>
      <c r="E6457" s="5" t="s">
        <v>3962</v>
      </c>
    </row>
    <row r="6458" spans="1:5" x14ac:dyDescent="0.25">
      <c r="A6458" s="5">
        <f>6450</f>
      </c>
      <c r="B6458" s="5" t="s">
        <v>5700</v>
      </c>
      <c r="C6458" s="5" t="s">
        <v>11</v>
      </c>
      <c r="D6458" s="5" t="s">
        <v>12</v>
      </c>
      <c r="E6458" s="5" t="s">
        <v>3962</v>
      </c>
    </row>
    <row r="6459" spans="1:5" x14ac:dyDescent="0.25">
      <c r="A6459" s="5">
        <f>6451</f>
      </c>
      <c r="B6459" s="5" t="s">
        <v>5701</v>
      </c>
      <c r="C6459" s="5" t="s">
        <v>11</v>
      </c>
      <c r="D6459" s="5" t="s">
        <v>12</v>
      </c>
      <c r="E6459" s="5" t="s">
        <v>3962</v>
      </c>
    </row>
    <row r="6460" spans="1:5" x14ac:dyDescent="0.25">
      <c r="A6460" s="5">
        <f>6452</f>
      </c>
      <c r="B6460" s="5" t="s">
        <v>5702</v>
      </c>
      <c r="C6460" s="5" t="s">
        <v>11</v>
      </c>
      <c r="D6460" s="5" t="s">
        <v>12</v>
      </c>
      <c r="E6460" s="5" t="s">
        <v>3962</v>
      </c>
    </row>
    <row r="6461" spans="1:5" x14ac:dyDescent="0.25">
      <c r="A6461" s="5">
        <f>6453</f>
      </c>
      <c r="B6461" s="5" t="s">
        <v>5703</v>
      </c>
      <c r="C6461" s="5" t="s">
        <v>11</v>
      </c>
      <c r="D6461" s="5" t="s">
        <v>12</v>
      </c>
      <c r="E6461" s="5" t="s">
        <v>3962</v>
      </c>
    </row>
    <row r="6462" spans="1:5" x14ac:dyDescent="0.25">
      <c r="A6462" s="5">
        <f>6454</f>
      </c>
      <c r="B6462" s="5" t="s">
        <v>5704</v>
      </c>
      <c r="C6462" s="5" t="s">
        <v>11</v>
      </c>
      <c r="D6462" s="5" t="s">
        <v>12</v>
      </c>
      <c r="E6462" s="5" t="s">
        <v>3962</v>
      </c>
    </row>
    <row r="6463" spans="1:5" x14ac:dyDescent="0.25">
      <c r="A6463" s="5">
        <f>6455</f>
      </c>
      <c r="B6463" s="5" t="s">
        <v>5705</v>
      </c>
      <c r="C6463" s="5" t="s">
        <v>11</v>
      </c>
      <c r="D6463" s="5" t="s">
        <v>12</v>
      </c>
      <c r="E6463" s="5" t="s">
        <v>3962</v>
      </c>
    </row>
    <row r="6464" spans="1:5" x14ac:dyDescent="0.25">
      <c r="A6464" s="5">
        <f>6456</f>
      </c>
      <c r="B6464" s="5" t="s">
        <v>5706</v>
      </c>
      <c r="C6464" s="5" t="s">
        <v>11</v>
      </c>
      <c r="D6464" s="5" t="s">
        <v>12</v>
      </c>
      <c r="E6464" s="5" t="s">
        <v>3962</v>
      </c>
    </row>
    <row r="6465" spans="1:5" x14ac:dyDescent="0.25">
      <c r="A6465" s="5">
        <f>6457</f>
      </c>
      <c r="B6465" s="5" t="s">
        <v>5707</v>
      </c>
      <c r="C6465" s="5" t="s">
        <v>11</v>
      </c>
      <c r="D6465" s="5" t="s">
        <v>12</v>
      </c>
      <c r="E6465" s="5" t="s">
        <v>3962</v>
      </c>
    </row>
    <row r="6466" spans="1:5" x14ac:dyDescent="0.25">
      <c r="A6466" s="5">
        <f>6458</f>
      </c>
      <c r="B6466" s="5" t="s">
        <v>5708</v>
      </c>
      <c r="C6466" s="5" t="s">
        <v>11</v>
      </c>
      <c r="D6466" s="5" t="s">
        <v>12</v>
      </c>
      <c r="E6466" s="5" t="s">
        <v>3962</v>
      </c>
    </row>
    <row r="6467" spans="1:5" x14ac:dyDescent="0.25">
      <c r="A6467" s="5">
        <f>6459</f>
      </c>
      <c r="B6467" s="5" t="s">
        <v>5709</v>
      </c>
      <c r="C6467" s="5" t="s">
        <v>11</v>
      </c>
      <c r="D6467" s="5" t="s">
        <v>12</v>
      </c>
      <c r="E6467" s="5" t="s">
        <v>3962</v>
      </c>
    </row>
    <row r="6468" spans="1:5" x14ac:dyDescent="0.25">
      <c r="A6468" s="5">
        <f>6460</f>
      </c>
      <c r="B6468" s="5" t="s">
        <v>5710</v>
      </c>
      <c r="C6468" s="5" t="s">
        <v>11</v>
      </c>
      <c r="D6468" s="5" t="s">
        <v>12</v>
      </c>
      <c r="E6468" s="5" t="s">
        <v>3962</v>
      </c>
    </row>
    <row r="6469" spans="1:5" x14ac:dyDescent="0.25">
      <c r="A6469" s="5">
        <f>6461</f>
      </c>
      <c r="B6469" s="5" t="s">
        <v>5711</v>
      </c>
      <c r="C6469" s="5" t="s">
        <v>11</v>
      </c>
      <c r="D6469" s="5" t="s">
        <v>12</v>
      </c>
      <c r="E6469" s="5" t="s">
        <v>3962</v>
      </c>
    </row>
    <row r="6470" spans="1:5" x14ac:dyDescent="0.25">
      <c r="A6470" s="5">
        <f>6462</f>
      </c>
      <c r="B6470" s="5" t="s">
        <v>5712</v>
      </c>
      <c r="C6470" s="5" t="s">
        <v>11</v>
      </c>
      <c r="D6470" s="5" t="s">
        <v>12</v>
      </c>
      <c r="E6470" s="5" t="s">
        <v>3962</v>
      </c>
    </row>
    <row r="6471" spans="1:5" x14ac:dyDescent="0.25">
      <c r="A6471" s="5">
        <f>6463</f>
      </c>
      <c r="B6471" s="5" t="s">
        <v>5713</v>
      </c>
      <c r="C6471" s="5" t="s">
        <v>11</v>
      </c>
      <c r="D6471" s="5" t="s">
        <v>12</v>
      </c>
      <c r="E6471" s="5" t="s">
        <v>3962</v>
      </c>
    </row>
    <row r="6472" spans="1:5" x14ac:dyDescent="0.25">
      <c r="A6472" s="5">
        <f>6464</f>
      </c>
      <c r="B6472" s="5" t="s">
        <v>5714</v>
      </c>
      <c r="C6472" s="5" t="s">
        <v>11</v>
      </c>
      <c r="D6472" s="5" t="s">
        <v>12</v>
      </c>
      <c r="E6472" s="5" t="s">
        <v>3962</v>
      </c>
    </row>
    <row r="6473" spans="1:5" x14ac:dyDescent="0.25">
      <c r="A6473" s="5">
        <f>6465</f>
      </c>
      <c r="B6473" s="5" t="s">
        <v>5715</v>
      </c>
      <c r="C6473" s="5" t="s">
        <v>11</v>
      </c>
      <c r="D6473" s="5" t="s">
        <v>12</v>
      </c>
      <c r="E6473" s="5" t="s">
        <v>3962</v>
      </c>
    </row>
    <row r="6474" spans="1:5" x14ac:dyDescent="0.25">
      <c r="A6474" s="5">
        <f>6466</f>
      </c>
      <c r="B6474" s="5" t="s">
        <v>5716</v>
      </c>
      <c r="C6474" s="5" t="s">
        <v>11</v>
      </c>
      <c r="D6474" s="5" t="s">
        <v>12</v>
      </c>
      <c r="E6474" s="5" t="s">
        <v>3962</v>
      </c>
    </row>
    <row r="6475" spans="1:5" x14ac:dyDescent="0.25">
      <c r="A6475" s="5">
        <f>6467</f>
      </c>
      <c r="B6475" s="5" t="s">
        <v>5717</v>
      </c>
      <c r="C6475" s="5" t="s">
        <v>11</v>
      </c>
      <c r="D6475" s="5" t="s">
        <v>12</v>
      </c>
      <c r="E6475" s="5" t="s">
        <v>3962</v>
      </c>
    </row>
    <row r="6476" spans="1:5" x14ac:dyDescent="0.25">
      <c r="A6476" s="5">
        <f>6468</f>
      </c>
      <c r="B6476" s="5" t="s">
        <v>5718</v>
      </c>
      <c r="C6476" s="5" t="s">
        <v>11</v>
      </c>
      <c r="D6476" s="5" t="s">
        <v>12</v>
      </c>
      <c r="E6476" s="5" t="s">
        <v>3962</v>
      </c>
    </row>
    <row r="6477" spans="1:5" x14ac:dyDescent="0.25">
      <c r="A6477" s="5">
        <f>6469</f>
      </c>
      <c r="B6477" s="5" t="s">
        <v>5719</v>
      </c>
      <c r="C6477" s="5" t="s">
        <v>11</v>
      </c>
      <c r="D6477" s="5" t="s">
        <v>12</v>
      </c>
      <c r="E6477" s="5" t="s">
        <v>3962</v>
      </c>
    </row>
    <row r="6478" spans="1:5" x14ac:dyDescent="0.25">
      <c r="A6478" s="5">
        <f>6470</f>
      </c>
      <c r="B6478" s="5" t="s">
        <v>5720</v>
      </c>
      <c r="C6478" s="5" t="s">
        <v>11</v>
      </c>
      <c r="D6478" s="5" t="s">
        <v>12</v>
      </c>
      <c r="E6478" s="5" t="s">
        <v>3962</v>
      </c>
    </row>
    <row r="6479" spans="1:5" x14ac:dyDescent="0.25">
      <c r="A6479" s="5">
        <f>6471</f>
      </c>
      <c r="B6479" s="5" t="s">
        <v>5721</v>
      </c>
      <c r="C6479" s="5" t="s">
        <v>11</v>
      </c>
      <c r="D6479" s="5" t="s">
        <v>12</v>
      </c>
      <c r="E6479" s="5" t="s">
        <v>3962</v>
      </c>
    </row>
    <row r="6480" spans="1:5" x14ac:dyDescent="0.25">
      <c r="A6480" s="5">
        <f>6472</f>
      </c>
      <c r="B6480" s="5" t="s">
        <v>5722</v>
      </c>
      <c r="C6480" s="5" t="s">
        <v>11</v>
      </c>
      <c r="D6480" s="5" t="s">
        <v>12</v>
      </c>
      <c r="E6480" s="5" t="s">
        <v>3962</v>
      </c>
    </row>
    <row r="6481" spans="1:5" x14ac:dyDescent="0.25">
      <c r="A6481" s="5">
        <f>6473</f>
      </c>
      <c r="B6481" s="5" t="s">
        <v>5723</v>
      </c>
      <c r="C6481" s="5" t="s">
        <v>11</v>
      </c>
      <c r="D6481" s="5" t="s">
        <v>12</v>
      </c>
      <c r="E6481" s="5" t="s">
        <v>3962</v>
      </c>
    </row>
    <row r="6482" spans="1:5" x14ac:dyDescent="0.25">
      <c r="A6482" s="5">
        <f>6474</f>
      </c>
      <c r="B6482" s="5" t="s">
        <v>5724</v>
      </c>
      <c r="C6482" s="5" t="s">
        <v>11</v>
      </c>
      <c r="D6482" s="5" t="s">
        <v>12</v>
      </c>
      <c r="E6482" s="5" t="s">
        <v>3962</v>
      </c>
    </row>
    <row r="6483" spans="1:5" x14ac:dyDescent="0.25">
      <c r="A6483" s="5">
        <f>6475</f>
      </c>
      <c r="B6483" s="5" t="s">
        <v>5725</v>
      </c>
      <c r="C6483" s="5" t="s">
        <v>11</v>
      </c>
      <c r="D6483" s="5" t="s">
        <v>12</v>
      </c>
      <c r="E6483" s="5" t="s">
        <v>3962</v>
      </c>
    </row>
    <row r="6484" spans="1:5" x14ac:dyDescent="0.25">
      <c r="A6484" s="5">
        <f>6476</f>
      </c>
      <c r="B6484" s="5" t="s">
        <v>5726</v>
      </c>
      <c r="C6484" s="5" t="s">
        <v>11</v>
      </c>
      <c r="D6484" s="5" t="s">
        <v>12</v>
      </c>
      <c r="E6484" s="5" t="s">
        <v>3962</v>
      </c>
    </row>
    <row r="6485" spans="1:5" x14ac:dyDescent="0.25">
      <c r="A6485" s="5">
        <f>6477</f>
      </c>
      <c r="B6485" s="5" t="s">
        <v>5727</v>
      </c>
      <c r="C6485" s="5" t="s">
        <v>11</v>
      </c>
      <c r="D6485" s="5" t="s">
        <v>12</v>
      </c>
      <c r="E6485" s="5" t="s">
        <v>3962</v>
      </c>
    </row>
    <row r="6486" spans="1:5" x14ac:dyDescent="0.25">
      <c r="A6486" s="5">
        <f>6478</f>
      </c>
      <c r="B6486" s="5" t="s">
        <v>5728</v>
      </c>
      <c r="C6486" s="5" t="s">
        <v>11</v>
      </c>
      <c r="D6486" s="5" t="s">
        <v>12</v>
      </c>
      <c r="E6486" s="5" t="s">
        <v>3962</v>
      </c>
    </row>
    <row r="6487" spans="1:5" x14ac:dyDescent="0.25">
      <c r="A6487" s="5">
        <f>6479</f>
      </c>
      <c r="B6487" s="5" t="s">
        <v>5729</v>
      </c>
      <c r="C6487" s="5" t="s">
        <v>11</v>
      </c>
      <c r="D6487" s="5" t="s">
        <v>12</v>
      </c>
      <c r="E6487" s="5" t="s">
        <v>3962</v>
      </c>
    </row>
    <row r="6488" spans="1:5" x14ac:dyDescent="0.25">
      <c r="A6488" s="5">
        <f>6480</f>
      </c>
      <c r="B6488" s="5" t="s">
        <v>5730</v>
      </c>
      <c r="C6488" s="5" t="s">
        <v>11</v>
      </c>
      <c r="D6488" s="5" t="s">
        <v>12</v>
      </c>
      <c r="E6488" s="5" t="s">
        <v>3962</v>
      </c>
    </row>
    <row r="6489" spans="1:5" x14ac:dyDescent="0.25">
      <c r="A6489" s="5">
        <f>6481</f>
      </c>
      <c r="B6489" s="5" t="s">
        <v>5731</v>
      </c>
      <c r="C6489" s="5" t="s">
        <v>11</v>
      </c>
      <c r="D6489" s="5" t="s">
        <v>12</v>
      </c>
      <c r="E6489" s="5" t="s">
        <v>3962</v>
      </c>
    </row>
    <row r="6490" spans="1:5" x14ac:dyDescent="0.25">
      <c r="A6490" s="5">
        <f>6482</f>
      </c>
      <c r="B6490" s="5" t="s">
        <v>5732</v>
      </c>
      <c r="C6490" s="5" t="s">
        <v>11</v>
      </c>
      <c r="D6490" s="5" t="s">
        <v>12</v>
      </c>
      <c r="E6490" s="5" t="s">
        <v>3962</v>
      </c>
    </row>
    <row r="6491" spans="1:5" x14ac:dyDescent="0.25">
      <c r="A6491" s="5">
        <f>6483</f>
      </c>
      <c r="B6491" s="5" t="s">
        <v>5733</v>
      </c>
      <c r="C6491" s="5" t="s">
        <v>11</v>
      </c>
      <c r="D6491" s="5" t="s">
        <v>12</v>
      </c>
      <c r="E6491" s="5" t="s">
        <v>3962</v>
      </c>
    </row>
    <row r="6492" spans="1:5" x14ac:dyDescent="0.25">
      <c r="A6492" s="5">
        <f>6484</f>
      </c>
      <c r="B6492" s="5" t="s">
        <v>5734</v>
      </c>
      <c r="C6492" s="5" t="s">
        <v>11</v>
      </c>
      <c r="D6492" s="5" t="s">
        <v>12</v>
      </c>
      <c r="E6492" s="5" t="s">
        <v>3962</v>
      </c>
    </row>
    <row r="6493" spans="1:5" x14ac:dyDescent="0.25">
      <c r="A6493" s="5">
        <f>6485</f>
      </c>
      <c r="B6493" s="5" t="s">
        <v>5735</v>
      </c>
      <c r="C6493" s="5" t="s">
        <v>11</v>
      </c>
      <c r="D6493" s="5" t="s">
        <v>12</v>
      </c>
      <c r="E6493" s="5" t="s">
        <v>3962</v>
      </c>
    </row>
    <row r="6494" spans="1:5" x14ac:dyDescent="0.25">
      <c r="A6494" s="5">
        <f>6486</f>
      </c>
      <c r="B6494" s="5" t="s">
        <v>5736</v>
      </c>
      <c r="C6494" s="5" t="s">
        <v>11</v>
      </c>
      <c r="D6494" s="5" t="s">
        <v>12</v>
      </c>
      <c r="E6494" s="5" t="s">
        <v>3962</v>
      </c>
    </row>
    <row r="6495" spans="1:5" x14ac:dyDescent="0.25">
      <c r="A6495" s="5">
        <f>6487</f>
      </c>
      <c r="B6495" s="5" t="s">
        <v>5737</v>
      </c>
      <c r="C6495" s="5" t="s">
        <v>11</v>
      </c>
      <c r="D6495" s="5" t="s">
        <v>12</v>
      </c>
      <c r="E6495" s="5" t="s">
        <v>3962</v>
      </c>
    </row>
    <row r="6496" spans="1:5" x14ac:dyDescent="0.25">
      <c r="A6496" s="5">
        <f>6488</f>
      </c>
      <c r="B6496" s="5" t="s">
        <v>5738</v>
      </c>
      <c r="C6496" s="5" t="s">
        <v>11</v>
      </c>
      <c r="D6496" s="5" t="s">
        <v>12</v>
      </c>
      <c r="E6496" s="5" t="s">
        <v>3962</v>
      </c>
    </row>
    <row r="6497" spans="1:5" x14ac:dyDescent="0.25">
      <c r="A6497" s="5">
        <f>6489</f>
      </c>
      <c r="B6497" s="5" t="s">
        <v>5739</v>
      </c>
      <c r="C6497" s="5" t="s">
        <v>11</v>
      </c>
      <c r="D6497" s="5" t="s">
        <v>12</v>
      </c>
      <c r="E6497" s="5" t="s">
        <v>3962</v>
      </c>
    </row>
    <row r="6498" spans="1:5" x14ac:dyDescent="0.25">
      <c r="A6498" s="5">
        <f>6490</f>
      </c>
      <c r="B6498" s="5" t="s">
        <v>5740</v>
      </c>
      <c r="C6498" s="5" t="s">
        <v>11</v>
      </c>
      <c r="D6498" s="5" t="s">
        <v>12</v>
      </c>
      <c r="E6498" s="5" t="s">
        <v>3962</v>
      </c>
    </row>
    <row r="6499" spans="1:5" x14ac:dyDescent="0.25">
      <c r="A6499" s="5">
        <f>6491</f>
      </c>
      <c r="B6499" s="5" t="s">
        <v>5741</v>
      </c>
      <c r="C6499" s="5" t="s">
        <v>11</v>
      </c>
      <c r="D6499" s="5" t="s">
        <v>12</v>
      </c>
      <c r="E6499" s="5" t="s">
        <v>3962</v>
      </c>
    </row>
    <row r="6500" spans="1:5" x14ac:dyDescent="0.25">
      <c r="A6500" s="5">
        <f>6492</f>
      </c>
      <c r="B6500" s="5" t="s">
        <v>5742</v>
      </c>
      <c r="C6500" s="5" t="s">
        <v>11</v>
      </c>
      <c r="D6500" s="5" t="s">
        <v>12</v>
      </c>
      <c r="E6500" s="5" t="s">
        <v>3962</v>
      </c>
    </row>
    <row r="6501" spans="1:5" x14ac:dyDescent="0.25">
      <c r="A6501" s="5">
        <f>6493</f>
      </c>
      <c r="B6501" s="5" t="s">
        <v>5743</v>
      </c>
      <c r="C6501" s="5" t="s">
        <v>11</v>
      </c>
      <c r="D6501" s="5" t="s">
        <v>12</v>
      </c>
      <c r="E6501" s="5" t="s">
        <v>3962</v>
      </c>
    </row>
    <row r="6502" spans="1:5" x14ac:dyDescent="0.25">
      <c r="A6502" s="5">
        <f>6494</f>
      </c>
      <c r="B6502" s="5" t="s">
        <v>5744</v>
      </c>
      <c r="C6502" s="5" t="s">
        <v>11</v>
      </c>
      <c r="D6502" s="5" t="s">
        <v>12</v>
      </c>
      <c r="E6502" s="5" t="s">
        <v>3962</v>
      </c>
    </row>
    <row r="6503" spans="1:5" x14ac:dyDescent="0.25">
      <c r="A6503" s="5">
        <f>6495</f>
      </c>
      <c r="B6503" s="5" t="s">
        <v>5745</v>
      </c>
      <c r="C6503" s="5" t="s">
        <v>11</v>
      </c>
      <c r="D6503" s="5" t="s">
        <v>12</v>
      </c>
      <c r="E6503" s="5" t="s">
        <v>3962</v>
      </c>
    </row>
    <row r="6504" spans="1:5" x14ac:dyDescent="0.25">
      <c r="A6504" s="5">
        <f>6496</f>
      </c>
      <c r="B6504" s="5" t="s">
        <v>5746</v>
      </c>
      <c r="C6504" s="5" t="s">
        <v>11</v>
      </c>
      <c r="D6504" s="5" t="s">
        <v>12</v>
      </c>
      <c r="E6504" s="5" t="s">
        <v>3962</v>
      </c>
    </row>
    <row r="6505" spans="1:5" x14ac:dyDescent="0.25">
      <c r="A6505" s="5">
        <f>6497</f>
      </c>
      <c r="B6505" s="5" t="s">
        <v>5747</v>
      </c>
      <c r="C6505" s="5" t="s">
        <v>11</v>
      </c>
      <c r="D6505" s="5" t="s">
        <v>12</v>
      </c>
      <c r="E6505" s="5" t="s">
        <v>3962</v>
      </c>
    </row>
    <row r="6506" spans="1:5" x14ac:dyDescent="0.25">
      <c r="A6506" s="5">
        <f>6498</f>
      </c>
      <c r="B6506" s="5" t="s">
        <v>5748</v>
      </c>
      <c r="C6506" s="5" t="s">
        <v>11</v>
      </c>
      <c r="D6506" s="5" t="s">
        <v>12</v>
      </c>
      <c r="E6506" s="5" t="s">
        <v>3962</v>
      </c>
    </row>
    <row r="6507" spans="1:5" x14ac:dyDescent="0.25">
      <c r="A6507" s="5">
        <f>6499</f>
      </c>
      <c r="B6507" s="5" t="s">
        <v>5749</v>
      </c>
      <c r="C6507" s="5" t="s">
        <v>11</v>
      </c>
      <c r="D6507" s="5" t="s">
        <v>12</v>
      </c>
      <c r="E6507" s="5" t="s">
        <v>3962</v>
      </c>
    </row>
    <row r="6508" spans="1:5" x14ac:dyDescent="0.25">
      <c r="A6508" s="5">
        <f>6500</f>
      </c>
      <c r="B6508" s="5" t="s">
        <v>5750</v>
      </c>
      <c r="C6508" s="5" t="s">
        <v>11</v>
      </c>
      <c r="D6508" s="5" t="s">
        <v>12</v>
      </c>
      <c r="E6508" s="5" t="s">
        <v>3962</v>
      </c>
    </row>
    <row r="6509" spans="1:5" x14ac:dyDescent="0.25">
      <c r="A6509" s="5">
        <f>6501</f>
      </c>
      <c r="B6509" s="5" t="s">
        <v>5751</v>
      </c>
      <c r="C6509" s="5" t="s">
        <v>11</v>
      </c>
      <c r="D6509" s="5" t="s">
        <v>12</v>
      </c>
      <c r="E6509" s="5" t="s">
        <v>3962</v>
      </c>
    </row>
    <row r="6510" spans="1:5" x14ac:dyDescent="0.25">
      <c r="A6510" s="5">
        <f>6502</f>
      </c>
      <c r="B6510" s="5" t="s">
        <v>5752</v>
      </c>
      <c r="C6510" s="5" t="s">
        <v>11</v>
      </c>
      <c r="D6510" s="5" t="s">
        <v>12</v>
      </c>
      <c r="E6510" s="5" t="s">
        <v>3962</v>
      </c>
    </row>
    <row r="6511" spans="1:5" x14ac:dyDescent="0.25">
      <c r="A6511" s="5">
        <f>6503</f>
      </c>
      <c r="B6511" s="5" t="s">
        <v>5753</v>
      </c>
      <c r="C6511" s="5" t="s">
        <v>11</v>
      </c>
      <c r="D6511" s="5" t="s">
        <v>12</v>
      </c>
      <c r="E6511" s="5" t="s">
        <v>3962</v>
      </c>
    </row>
    <row r="6512" spans="1:5" x14ac:dyDescent="0.25">
      <c r="A6512" s="5">
        <f>6504</f>
      </c>
      <c r="B6512" s="5" t="s">
        <v>5754</v>
      </c>
      <c r="C6512" s="5" t="s">
        <v>11</v>
      </c>
      <c r="D6512" s="5" t="s">
        <v>12</v>
      </c>
      <c r="E6512" s="5" t="s">
        <v>3962</v>
      </c>
    </row>
    <row r="6513" spans="1:5" x14ac:dyDescent="0.25">
      <c r="A6513" s="5">
        <f>6505</f>
      </c>
      <c r="B6513" s="5" t="s">
        <v>5755</v>
      </c>
      <c r="C6513" s="5" t="s">
        <v>11</v>
      </c>
      <c r="D6513" s="5" t="s">
        <v>12</v>
      </c>
      <c r="E6513" s="5" t="s">
        <v>3962</v>
      </c>
    </row>
    <row r="6514" spans="1:5" x14ac:dyDescent="0.25">
      <c r="A6514" s="5">
        <f>6506</f>
      </c>
      <c r="B6514" s="5" t="s">
        <v>5756</v>
      </c>
      <c r="C6514" s="5" t="s">
        <v>11</v>
      </c>
      <c r="D6514" s="5" t="s">
        <v>12</v>
      </c>
      <c r="E6514" s="5" t="s">
        <v>3962</v>
      </c>
    </row>
    <row r="6515" spans="1:5" x14ac:dyDescent="0.25">
      <c r="A6515" s="5">
        <f>6507</f>
      </c>
      <c r="B6515" s="5" t="s">
        <v>5757</v>
      </c>
      <c r="C6515" s="5" t="s">
        <v>11</v>
      </c>
      <c r="D6515" s="5" t="s">
        <v>12</v>
      </c>
      <c r="E6515" s="5" t="s">
        <v>3962</v>
      </c>
    </row>
    <row r="6516" spans="1:5" x14ac:dyDescent="0.25">
      <c r="A6516" s="5">
        <f>6508</f>
      </c>
      <c r="B6516" s="5" t="s">
        <v>5758</v>
      </c>
      <c r="C6516" s="5" t="s">
        <v>11</v>
      </c>
      <c r="D6516" s="5" t="s">
        <v>12</v>
      </c>
      <c r="E6516" s="5" t="s">
        <v>3962</v>
      </c>
    </row>
    <row r="6517" spans="1:5" x14ac:dyDescent="0.25">
      <c r="A6517" s="5">
        <f>6509</f>
      </c>
      <c r="B6517" s="5" t="s">
        <v>5759</v>
      </c>
      <c r="C6517" s="5" t="s">
        <v>11</v>
      </c>
      <c r="D6517" s="5" t="s">
        <v>12</v>
      </c>
      <c r="E6517" s="5" t="s">
        <v>3962</v>
      </c>
    </row>
    <row r="6518" spans="1:5" x14ac:dyDescent="0.25">
      <c r="A6518" s="5">
        <f>6510</f>
      </c>
      <c r="B6518" s="5" t="s">
        <v>5760</v>
      </c>
      <c r="C6518" s="5" t="s">
        <v>11</v>
      </c>
      <c r="D6518" s="5" t="s">
        <v>12</v>
      </c>
      <c r="E6518" s="5" t="s">
        <v>3962</v>
      </c>
    </row>
    <row r="6519" spans="1:5" x14ac:dyDescent="0.25">
      <c r="A6519" s="5">
        <f>6511</f>
      </c>
      <c r="B6519" s="5" t="s">
        <v>5761</v>
      </c>
      <c r="C6519" s="5" t="s">
        <v>11</v>
      </c>
      <c r="D6519" s="5" t="s">
        <v>12</v>
      </c>
      <c r="E6519" s="5" t="s">
        <v>3962</v>
      </c>
    </row>
    <row r="6520" spans="1:5" x14ac:dyDescent="0.25">
      <c r="A6520" s="5">
        <f>6512</f>
      </c>
      <c r="B6520" s="5" t="s">
        <v>5762</v>
      </c>
      <c r="C6520" s="5" t="s">
        <v>11</v>
      </c>
      <c r="D6520" s="5" t="s">
        <v>12</v>
      </c>
      <c r="E6520" s="5" t="s">
        <v>3962</v>
      </c>
    </row>
    <row r="6521" spans="1:5" x14ac:dyDescent="0.25">
      <c r="A6521" s="5">
        <f>6513</f>
      </c>
      <c r="B6521" s="5" t="s">
        <v>5763</v>
      </c>
      <c r="C6521" s="5" t="s">
        <v>11</v>
      </c>
      <c r="D6521" s="5" t="s">
        <v>12</v>
      </c>
      <c r="E6521" s="5" t="s">
        <v>3962</v>
      </c>
    </row>
    <row r="6522" spans="1:5" x14ac:dyDescent="0.25">
      <c r="A6522" s="5">
        <f>6514</f>
      </c>
      <c r="B6522" s="5" t="s">
        <v>5764</v>
      </c>
      <c r="C6522" s="5" t="s">
        <v>11</v>
      </c>
      <c r="D6522" s="5" t="s">
        <v>12</v>
      </c>
      <c r="E6522" s="5" t="s">
        <v>3962</v>
      </c>
    </row>
    <row r="6523" spans="1:5" x14ac:dyDescent="0.25">
      <c r="A6523" s="5">
        <f>6515</f>
      </c>
      <c r="B6523" s="5" t="s">
        <v>5765</v>
      </c>
      <c r="C6523" s="5" t="s">
        <v>11</v>
      </c>
      <c r="D6523" s="5" t="s">
        <v>12</v>
      </c>
      <c r="E6523" s="5" t="s">
        <v>3962</v>
      </c>
    </row>
    <row r="6524" spans="1:5" x14ac:dyDescent="0.25">
      <c r="A6524" s="5">
        <f>6516</f>
      </c>
      <c r="B6524" s="5" t="s">
        <v>5766</v>
      </c>
      <c r="C6524" s="5" t="s">
        <v>11</v>
      </c>
      <c r="D6524" s="5" t="s">
        <v>12</v>
      </c>
      <c r="E6524" s="5" t="s">
        <v>3962</v>
      </c>
    </row>
    <row r="6525" spans="1:5" x14ac:dyDescent="0.25">
      <c r="A6525" s="5">
        <f>6517</f>
      </c>
      <c r="B6525" s="5" t="s">
        <v>5767</v>
      </c>
      <c r="C6525" s="5" t="s">
        <v>11</v>
      </c>
      <c r="D6525" s="5" t="s">
        <v>12</v>
      </c>
      <c r="E6525" s="5" t="s">
        <v>3962</v>
      </c>
    </row>
    <row r="6526" spans="1:5" x14ac:dyDescent="0.25">
      <c r="A6526" s="5">
        <f>6518</f>
      </c>
      <c r="B6526" s="5" t="s">
        <v>5768</v>
      </c>
      <c r="C6526" s="5" t="s">
        <v>11</v>
      </c>
      <c r="D6526" s="5" t="s">
        <v>12</v>
      </c>
      <c r="E6526" s="5" t="s">
        <v>3962</v>
      </c>
    </row>
    <row r="6527" spans="1:5" x14ac:dyDescent="0.25">
      <c r="A6527" s="5">
        <f>6519</f>
      </c>
      <c r="B6527" s="5" t="s">
        <v>5769</v>
      </c>
      <c r="C6527" s="5" t="s">
        <v>11</v>
      </c>
      <c r="D6527" s="5" t="s">
        <v>12</v>
      </c>
      <c r="E6527" s="5" t="s">
        <v>3962</v>
      </c>
    </row>
    <row r="6528" spans="1:5" x14ac:dyDescent="0.25">
      <c r="A6528" s="5">
        <f>6520</f>
      </c>
      <c r="B6528" s="5" t="s">
        <v>5770</v>
      </c>
      <c r="C6528" s="5" t="s">
        <v>11</v>
      </c>
      <c r="D6528" s="5" t="s">
        <v>12</v>
      </c>
      <c r="E6528" s="5" t="s">
        <v>3962</v>
      </c>
    </row>
    <row r="6529" spans="1:5" x14ac:dyDescent="0.25">
      <c r="A6529" s="5">
        <f>6521</f>
      </c>
      <c r="B6529" s="5" t="s">
        <v>5771</v>
      </c>
      <c r="C6529" s="5" t="s">
        <v>11</v>
      </c>
      <c r="D6529" s="5" t="s">
        <v>12</v>
      </c>
      <c r="E6529" s="5" t="s">
        <v>3962</v>
      </c>
    </row>
    <row r="6530" spans="1:5" x14ac:dyDescent="0.25">
      <c r="A6530" s="5">
        <f>6522</f>
      </c>
      <c r="B6530" s="5" t="s">
        <v>5772</v>
      </c>
      <c r="C6530" s="5" t="s">
        <v>11</v>
      </c>
      <c r="D6530" s="5" t="s">
        <v>12</v>
      </c>
      <c r="E6530" s="5" t="s">
        <v>3962</v>
      </c>
    </row>
    <row r="6531" spans="1:5" x14ac:dyDescent="0.25">
      <c r="A6531" s="5">
        <f>6523</f>
      </c>
      <c r="B6531" s="5" t="s">
        <v>5773</v>
      </c>
      <c r="C6531" s="5" t="s">
        <v>11</v>
      </c>
      <c r="D6531" s="5" t="s">
        <v>12</v>
      </c>
      <c r="E6531" s="5" t="s">
        <v>3962</v>
      </c>
    </row>
    <row r="6532" spans="1:5" x14ac:dyDescent="0.25">
      <c r="A6532" s="5">
        <f>6524</f>
      </c>
      <c r="B6532" s="5" t="s">
        <v>5774</v>
      </c>
      <c r="C6532" s="5" t="s">
        <v>11</v>
      </c>
      <c r="D6532" s="5" t="s">
        <v>12</v>
      </c>
      <c r="E6532" s="5" t="s">
        <v>3962</v>
      </c>
    </row>
    <row r="6533" spans="1:5" x14ac:dyDescent="0.25">
      <c r="A6533" s="5">
        <f>6525</f>
      </c>
      <c r="B6533" s="5" t="s">
        <v>5775</v>
      </c>
      <c r="C6533" s="5" t="s">
        <v>11</v>
      </c>
      <c r="D6533" s="5" t="s">
        <v>12</v>
      </c>
      <c r="E6533" s="5" t="s">
        <v>3962</v>
      </c>
    </row>
    <row r="6534" spans="1:5" x14ac:dyDescent="0.25">
      <c r="A6534" s="5">
        <f>6526</f>
      </c>
      <c r="B6534" s="5" t="s">
        <v>5776</v>
      </c>
      <c r="C6534" s="5" t="s">
        <v>11</v>
      </c>
      <c r="D6534" s="5" t="s">
        <v>12</v>
      </c>
      <c r="E6534" s="5" t="s">
        <v>3962</v>
      </c>
    </row>
    <row r="6535" spans="1:5" x14ac:dyDescent="0.25">
      <c r="A6535" s="5">
        <f>6527</f>
      </c>
      <c r="B6535" s="5" t="s">
        <v>5777</v>
      </c>
      <c r="C6535" s="5" t="s">
        <v>11</v>
      </c>
      <c r="D6535" s="5" t="s">
        <v>12</v>
      </c>
      <c r="E6535" s="5" t="s">
        <v>3962</v>
      </c>
    </row>
    <row r="6536" spans="1:5" x14ac:dyDescent="0.25">
      <c r="A6536" s="5">
        <f>6528</f>
      </c>
      <c r="B6536" s="5" t="s">
        <v>5778</v>
      </c>
      <c r="C6536" s="5" t="s">
        <v>11</v>
      </c>
      <c r="D6536" s="5" t="s">
        <v>12</v>
      </c>
      <c r="E6536" s="5" t="s">
        <v>3962</v>
      </c>
    </row>
    <row r="6537" spans="1:5" x14ac:dyDescent="0.25">
      <c r="A6537" s="5">
        <f>6529</f>
      </c>
      <c r="B6537" s="5" t="s">
        <v>5779</v>
      </c>
      <c r="C6537" s="5" t="s">
        <v>11</v>
      </c>
      <c r="D6537" s="5" t="s">
        <v>12</v>
      </c>
      <c r="E6537" s="5" t="s">
        <v>3962</v>
      </c>
    </row>
    <row r="6538" spans="1:5" x14ac:dyDescent="0.25">
      <c r="A6538" s="5">
        <f>6530</f>
      </c>
      <c r="B6538" s="5" t="s">
        <v>5780</v>
      </c>
      <c r="C6538" s="5" t="s">
        <v>11</v>
      </c>
      <c r="D6538" s="5" t="s">
        <v>12</v>
      </c>
      <c r="E6538" s="5" t="s">
        <v>3962</v>
      </c>
    </row>
    <row r="6539" spans="1:5" x14ac:dyDescent="0.25">
      <c r="A6539" s="5">
        <f>6531</f>
      </c>
      <c r="B6539" s="5" t="s">
        <v>5781</v>
      </c>
      <c r="C6539" s="5" t="s">
        <v>11</v>
      </c>
      <c r="D6539" s="5" t="s">
        <v>12</v>
      </c>
      <c r="E6539" s="5" t="s">
        <v>3962</v>
      </c>
    </row>
    <row r="6540" spans="1:5" x14ac:dyDescent="0.25">
      <c r="A6540" s="5">
        <f>6532</f>
      </c>
      <c r="B6540" s="5" t="s">
        <v>5782</v>
      </c>
      <c r="C6540" s="5" t="s">
        <v>11</v>
      </c>
      <c r="D6540" s="5" t="s">
        <v>12</v>
      </c>
      <c r="E6540" s="5" t="s">
        <v>3962</v>
      </c>
    </row>
    <row r="6541" spans="1:5" x14ac:dyDescent="0.25">
      <c r="A6541" s="5">
        <f>6533</f>
      </c>
      <c r="B6541" s="5" t="s">
        <v>5783</v>
      </c>
      <c r="C6541" s="5" t="s">
        <v>11</v>
      </c>
      <c r="D6541" s="5" t="s">
        <v>12</v>
      </c>
      <c r="E6541" s="5" t="s">
        <v>3962</v>
      </c>
    </row>
    <row r="6542" spans="1:5" x14ac:dyDescent="0.25">
      <c r="A6542" s="5">
        <f>6534</f>
      </c>
      <c r="B6542" s="5" t="s">
        <v>5784</v>
      </c>
      <c r="C6542" s="5" t="s">
        <v>11</v>
      </c>
      <c r="D6542" s="5" t="s">
        <v>12</v>
      </c>
      <c r="E6542" s="5" t="s">
        <v>3962</v>
      </c>
    </row>
    <row r="6543" spans="1:5" x14ac:dyDescent="0.25">
      <c r="A6543" s="5">
        <f>6535</f>
      </c>
      <c r="B6543" s="5" t="s">
        <v>5785</v>
      </c>
      <c r="C6543" s="5" t="s">
        <v>11</v>
      </c>
      <c r="D6543" s="5" t="s">
        <v>12</v>
      </c>
      <c r="E6543" s="5" t="s">
        <v>3962</v>
      </c>
    </row>
    <row r="6544" spans="1:5" x14ac:dyDescent="0.25">
      <c r="A6544" s="5">
        <f>6536</f>
      </c>
      <c r="B6544" s="5" t="s">
        <v>5786</v>
      </c>
      <c r="C6544" s="5" t="s">
        <v>11</v>
      </c>
      <c r="D6544" s="5" t="s">
        <v>12</v>
      </c>
      <c r="E6544" s="5" t="s">
        <v>3962</v>
      </c>
    </row>
    <row r="6545" spans="1:5" x14ac:dyDescent="0.25">
      <c r="A6545" s="5">
        <f>6537</f>
      </c>
      <c r="B6545" s="5" t="s">
        <v>5787</v>
      </c>
      <c r="C6545" s="5" t="s">
        <v>11</v>
      </c>
      <c r="D6545" s="5" t="s">
        <v>12</v>
      </c>
      <c r="E6545" s="5" t="s">
        <v>3962</v>
      </c>
    </row>
    <row r="6546" spans="1:5" x14ac:dyDescent="0.25">
      <c r="A6546" s="5">
        <f>6538</f>
      </c>
      <c r="B6546" s="5" t="s">
        <v>5788</v>
      </c>
      <c r="C6546" s="5" t="s">
        <v>11</v>
      </c>
      <c r="D6546" s="5" t="s">
        <v>12</v>
      </c>
      <c r="E6546" s="5" t="s">
        <v>3962</v>
      </c>
    </row>
    <row r="6547" spans="1:5" x14ac:dyDescent="0.25">
      <c r="A6547" s="5">
        <f>6539</f>
      </c>
      <c r="B6547" s="5" t="s">
        <v>5789</v>
      </c>
      <c r="C6547" s="5" t="s">
        <v>11</v>
      </c>
      <c r="D6547" s="5" t="s">
        <v>12</v>
      </c>
      <c r="E6547" s="5" t="s">
        <v>3962</v>
      </c>
    </row>
    <row r="6548" spans="1:5" x14ac:dyDescent="0.25">
      <c r="A6548" s="5">
        <f>6540</f>
      </c>
      <c r="B6548" s="5" t="s">
        <v>5790</v>
      </c>
      <c r="C6548" s="5" t="s">
        <v>11</v>
      </c>
      <c r="D6548" s="5" t="s">
        <v>12</v>
      </c>
      <c r="E6548" s="5" t="s">
        <v>3962</v>
      </c>
    </row>
    <row r="6549" spans="1:5" x14ac:dyDescent="0.25">
      <c r="A6549" s="5">
        <f>6541</f>
      </c>
      <c r="B6549" s="5" t="s">
        <v>5791</v>
      </c>
      <c r="C6549" s="5" t="s">
        <v>11</v>
      </c>
      <c r="D6549" s="5" t="s">
        <v>12</v>
      </c>
      <c r="E6549" s="5" t="s">
        <v>3962</v>
      </c>
    </row>
    <row r="6550" spans="1:5" x14ac:dyDescent="0.25">
      <c r="A6550" s="5">
        <f>6542</f>
      </c>
      <c r="B6550" s="5" t="s">
        <v>5792</v>
      </c>
      <c r="C6550" s="5" t="s">
        <v>11</v>
      </c>
      <c r="D6550" s="5" t="s">
        <v>12</v>
      </c>
      <c r="E6550" s="5" t="s">
        <v>3962</v>
      </c>
    </row>
    <row r="6551" spans="1:5" x14ac:dyDescent="0.25">
      <c r="A6551" s="5">
        <f>6543</f>
      </c>
      <c r="B6551" s="5" t="s">
        <v>5793</v>
      </c>
      <c r="C6551" s="5" t="s">
        <v>11</v>
      </c>
      <c r="D6551" s="5" t="s">
        <v>12</v>
      </c>
      <c r="E6551" s="5" t="s">
        <v>3962</v>
      </c>
    </row>
    <row r="6552" spans="1:5" x14ac:dyDescent="0.25">
      <c r="A6552" s="5">
        <f>6544</f>
      </c>
      <c r="B6552" s="5" t="s">
        <v>5794</v>
      </c>
      <c r="C6552" s="5" t="s">
        <v>11</v>
      </c>
      <c r="D6552" s="5" t="s">
        <v>12</v>
      </c>
      <c r="E6552" s="5" t="s">
        <v>3962</v>
      </c>
    </row>
    <row r="6553" spans="1:5" x14ac:dyDescent="0.25">
      <c r="A6553" s="5">
        <f>6545</f>
      </c>
      <c r="B6553" s="5" t="s">
        <v>5795</v>
      </c>
      <c r="C6553" s="5" t="s">
        <v>11</v>
      </c>
      <c r="D6553" s="5" t="s">
        <v>12</v>
      </c>
      <c r="E6553" s="5" t="s">
        <v>3962</v>
      </c>
    </row>
    <row r="6554" spans="1:5" x14ac:dyDescent="0.25">
      <c r="A6554" s="5">
        <f>6546</f>
      </c>
      <c r="B6554" s="5" t="s">
        <v>5796</v>
      </c>
      <c r="C6554" s="5" t="s">
        <v>11</v>
      </c>
      <c r="D6554" s="5" t="s">
        <v>12</v>
      </c>
      <c r="E6554" s="5" t="s">
        <v>3962</v>
      </c>
    </row>
    <row r="6555" spans="1:5" x14ac:dyDescent="0.25">
      <c r="A6555" s="5">
        <f>6547</f>
      </c>
      <c r="B6555" s="5" t="s">
        <v>5797</v>
      </c>
      <c r="C6555" s="5" t="s">
        <v>11</v>
      </c>
      <c r="D6555" s="5" t="s">
        <v>12</v>
      </c>
      <c r="E6555" s="5" t="s">
        <v>3962</v>
      </c>
    </row>
    <row r="6556" spans="1:5" x14ac:dyDescent="0.25">
      <c r="A6556" s="5">
        <f>6548</f>
      </c>
      <c r="B6556" s="5" t="s">
        <v>5798</v>
      </c>
      <c r="C6556" s="5" t="s">
        <v>11</v>
      </c>
      <c r="D6556" s="5" t="s">
        <v>12</v>
      </c>
      <c r="E6556" s="5" t="s">
        <v>3962</v>
      </c>
    </row>
    <row r="6557" spans="1:5" x14ac:dyDescent="0.25">
      <c r="A6557" s="5">
        <f>6549</f>
      </c>
      <c r="B6557" s="5" t="s">
        <v>5799</v>
      </c>
      <c r="C6557" s="5" t="s">
        <v>11</v>
      </c>
      <c r="D6557" s="5" t="s">
        <v>12</v>
      </c>
      <c r="E6557" s="5" t="s">
        <v>3962</v>
      </c>
    </row>
    <row r="6558" spans="1:5" x14ac:dyDescent="0.25">
      <c r="A6558" s="5">
        <f>6550</f>
      </c>
      <c r="B6558" s="5" t="s">
        <v>5800</v>
      </c>
      <c r="C6558" s="5" t="s">
        <v>11</v>
      </c>
      <c r="D6558" s="5" t="s">
        <v>12</v>
      </c>
      <c r="E6558" s="5" t="s">
        <v>3962</v>
      </c>
    </row>
    <row r="6559" spans="1:5" x14ac:dyDescent="0.25">
      <c r="A6559" s="5">
        <f>6551</f>
      </c>
      <c r="B6559" s="5" t="s">
        <v>5801</v>
      </c>
      <c r="C6559" s="5" t="s">
        <v>11</v>
      </c>
      <c r="D6559" s="5" t="s">
        <v>12</v>
      </c>
      <c r="E6559" s="5" t="s">
        <v>3962</v>
      </c>
    </row>
    <row r="6560" spans="1:5" x14ac:dyDescent="0.25">
      <c r="A6560" s="5">
        <f>6552</f>
      </c>
      <c r="B6560" s="5" t="s">
        <v>5802</v>
      </c>
      <c r="C6560" s="5" t="s">
        <v>11</v>
      </c>
      <c r="D6560" s="5" t="s">
        <v>12</v>
      </c>
      <c r="E6560" s="5" t="s">
        <v>3962</v>
      </c>
    </row>
    <row r="6561" spans="1:5" x14ac:dyDescent="0.25">
      <c r="A6561" s="5">
        <f>6553</f>
      </c>
      <c r="B6561" s="5" t="s">
        <v>5803</v>
      </c>
      <c r="C6561" s="5" t="s">
        <v>11</v>
      </c>
      <c r="D6561" s="5" t="s">
        <v>12</v>
      </c>
      <c r="E6561" s="5" t="s">
        <v>3962</v>
      </c>
    </row>
    <row r="6562" spans="1:5" x14ac:dyDescent="0.25">
      <c r="A6562" s="5">
        <f>6554</f>
      </c>
      <c r="B6562" s="5" t="s">
        <v>5804</v>
      </c>
      <c r="C6562" s="5" t="s">
        <v>11</v>
      </c>
      <c r="D6562" s="5" t="s">
        <v>12</v>
      </c>
      <c r="E6562" s="5" t="s">
        <v>3962</v>
      </c>
    </row>
    <row r="6563" spans="1:5" x14ac:dyDescent="0.25">
      <c r="A6563" s="5">
        <f>6555</f>
      </c>
      <c r="B6563" s="5" t="s">
        <v>5805</v>
      </c>
      <c r="C6563" s="5" t="s">
        <v>11</v>
      </c>
      <c r="D6563" s="5" t="s">
        <v>12</v>
      </c>
      <c r="E6563" s="5" t="s">
        <v>3962</v>
      </c>
    </row>
    <row r="6564" spans="1:5" x14ac:dyDescent="0.25">
      <c r="A6564" s="5">
        <f>6556</f>
      </c>
      <c r="B6564" s="5" t="s">
        <v>5806</v>
      </c>
      <c r="C6564" s="5" t="s">
        <v>11</v>
      </c>
      <c r="D6564" s="5" t="s">
        <v>12</v>
      </c>
      <c r="E6564" s="5" t="s">
        <v>3962</v>
      </c>
    </row>
    <row r="6565" spans="1:5" x14ac:dyDescent="0.25">
      <c r="A6565" s="5">
        <f>6557</f>
      </c>
      <c r="B6565" s="5" t="s">
        <v>5807</v>
      </c>
      <c r="C6565" s="5" t="s">
        <v>11</v>
      </c>
      <c r="D6565" s="5" t="s">
        <v>12</v>
      </c>
      <c r="E6565" s="5" t="s">
        <v>3962</v>
      </c>
    </row>
    <row r="6566" spans="1:5" x14ac:dyDescent="0.25">
      <c r="A6566" s="5">
        <f>6558</f>
      </c>
      <c r="B6566" s="5" t="s">
        <v>5808</v>
      </c>
      <c r="C6566" s="5" t="s">
        <v>11</v>
      </c>
      <c r="D6566" s="5" t="s">
        <v>12</v>
      </c>
      <c r="E6566" s="5" t="s">
        <v>3962</v>
      </c>
    </row>
    <row r="6567" spans="1:5" x14ac:dyDescent="0.25">
      <c r="A6567" s="5">
        <f>6559</f>
      </c>
      <c r="B6567" s="5" t="s">
        <v>5809</v>
      </c>
      <c r="C6567" s="5" t="s">
        <v>11</v>
      </c>
      <c r="D6567" s="5" t="s">
        <v>12</v>
      </c>
      <c r="E6567" s="5" t="s">
        <v>3962</v>
      </c>
    </row>
    <row r="6568" spans="1:5" x14ac:dyDescent="0.25">
      <c r="A6568" s="5">
        <f>6560</f>
      </c>
      <c r="B6568" s="5" t="s">
        <v>5810</v>
      </c>
      <c r="C6568" s="5" t="s">
        <v>11</v>
      </c>
      <c r="D6568" s="5" t="s">
        <v>12</v>
      </c>
      <c r="E6568" s="5" t="s">
        <v>3962</v>
      </c>
    </row>
    <row r="6569" spans="1:5" x14ac:dyDescent="0.25">
      <c r="A6569" s="5">
        <f>6561</f>
      </c>
      <c r="B6569" s="5" t="s">
        <v>5811</v>
      </c>
      <c r="C6569" s="5" t="s">
        <v>11</v>
      </c>
      <c r="D6569" s="5" t="s">
        <v>12</v>
      </c>
      <c r="E6569" s="5" t="s">
        <v>3962</v>
      </c>
    </row>
    <row r="6570" spans="1:5" x14ac:dyDescent="0.25">
      <c r="A6570" s="5">
        <f>6562</f>
      </c>
      <c r="B6570" s="5" t="s">
        <v>5812</v>
      </c>
      <c r="C6570" s="5" t="s">
        <v>11</v>
      </c>
      <c r="D6570" s="5" t="s">
        <v>12</v>
      </c>
      <c r="E6570" s="5" t="s">
        <v>3962</v>
      </c>
    </row>
    <row r="6571" spans="1:5" x14ac:dyDescent="0.25">
      <c r="A6571" s="5">
        <f>6563</f>
      </c>
      <c r="B6571" s="5" t="s">
        <v>5813</v>
      </c>
      <c r="C6571" s="5" t="s">
        <v>11</v>
      </c>
      <c r="D6571" s="5" t="s">
        <v>12</v>
      </c>
      <c r="E6571" s="5" t="s">
        <v>3962</v>
      </c>
    </row>
    <row r="6572" spans="1:5" x14ac:dyDescent="0.25">
      <c r="A6572" s="5">
        <f>6564</f>
      </c>
      <c r="B6572" s="5" t="s">
        <v>5814</v>
      </c>
      <c r="C6572" s="5" t="s">
        <v>11</v>
      </c>
      <c r="D6572" s="5" t="s">
        <v>12</v>
      </c>
      <c r="E6572" s="5" t="s">
        <v>3962</v>
      </c>
    </row>
    <row r="6573" spans="1:5" x14ac:dyDescent="0.25">
      <c r="A6573" s="5">
        <f>6565</f>
      </c>
      <c r="B6573" s="5" t="s">
        <v>5815</v>
      </c>
      <c r="C6573" s="5" t="s">
        <v>11</v>
      </c>
      <c r="D6573" s="5" t="s">
        <v>12</v>
      </c>
      <c r="E6573" s="5" t="s">
        <v>3962</v>
      </c>
    </row>
    <row r="6574" spans="1:5" x14ac:dyDescent="0.25">
      <c r="A6574" s="5">
        <f>6566</f>
      </c>
      <c r="B6574" s="5" t="s">
        <v>5816</v>
      </c>
      <c r="C6574" s="5" t="s">
        <v>11</v>
      </c>
      <c r="D6574" s="5" t="s">
        <v>12</v>
      </c>
      <c r="E6574" s="5" t="s">
        <v>3962</v>
      </c>
    </row>
    <row r="6575" spans="1:5" x14ac:dyDescent="0.25">
      <c r="A6575" s="5">
        <f>6567</f>
      </c>
      <c r="B6575" s="5" t="s">
        <v>5817</v>
      </c>
      <c r="C6575" s="5" t="s">
        <v>11</v>
      </c>
      <c r="D6575" s="5" t="s">
        <v>12</v>
      </c>
      <c r="E6575" s="5" t="s">
        <v>3962</v>
      </c>
    </row>
    <row r="6576" spans="1:5" x14ac:dyDescent="0.25">
      <c r="A6576" s="5">
        <f>6568</f>
      </c>
      <c r="B6576" s="5" t="s">
        <v>5818</v>
      </c>
      <c r="C6576" s="5" t="s">
        <v>11</v>
      </c>
      <c r="D6576" s="5" t="s">
        <v>12</v>
      </c>
      <c r="E6576" s="5" t="s">
        <v>3962</v>
      </c>
    </row>
    <row r="6577" spans="1:5" x14ac:dyDescent="0.25">
      <c r="A6577" s="5">
        <f>6569</f>
      </c>
      <c r="B6577" s="5" t="s">
        <v>5819</v>
      </c>
      <c r="C6577" s="5" t="s">
        <v>11</v>
      </c>
      <c r="D6577" s="5" t="s">
        <v>12</v>
      </c>
      <c r="E6577" s="5" t="s">
        <v>3962</v>
      </c>
    </row>
    <row r="6578" spans="1:5" x14ac:dyDescent="0.25">
      <c r="A6578" s="5">
        <f>6570</f>
      </c>
      <c r="B6578" s="5" t="s">
        <v>5820</v>
      </c>
      <c r="C6578" s="5" t="s">
        <v>11</v>
      </c>
      <c r="D6578" s="5" t="s">
        <v>12</v>
      </c>
      <c r="E6578" s="5" t="s">
        <v>3962</v>
      </c>
    </row>
    <row r="6579" spans="1:5" x14ac:dyDescent="0.25">
      <c r="A6579" s="5">
        <f>6571</f>
      </c>
      <c r="B6579" s="5" t="s">
        <v>5821</v>
      </c>
      <c r="C6579" s="5" t="s">
        <v>11</v>
      </c>
      <c r="D6579" s="5" t="s">
        <v>12</v>
      </c>
      <c r="E6579" s="5" t="s">
        <v>3962</v>
      </c>
    </row>
    <row r="6580" spans="1:5" x14ac:dyDescent="0.25">
      <c r="A6580" s="5">
        <f>6572</f>
      </c>
      <c r="B6580" s="5" t="s">
        <v>5822</v>
      </c>
      <c r="C6580" s="5" t="s">
        <v>11</v>
      </c>
      <c r="D6580" s="5" t="s">
        <v>12</v>
      </c>
      <c r="E6580" s="5" t="s">
        <v>3962</v>
      </c>
    </row>
    <row r="6581" spans="1:5" x14ac:dyDescent="0.25">
      <c r="A6581" s="5">
        <f>6573</f>
      </c>
      <c r="B6581" s="5" t="s">
        <v>5823</v>
      </c>
      <c r="C6581" s="5" t="s">
        <v>11</v>
      </c>
      <c r="D6581" s="5" t="s">
        <v>12</v>
      </c>
      <c r="E6581" s="5" t="s">
        <v>3962</v>
      </c>
    </row>
    <row r="6582" spans="1:5" x14ac:dyDescent="0.25">
      <c r="A6582" s="5">
        <f>6574</f>
      </c>
      <c r="B6582" s="5" t="s">
        <v>5824</v>
      </c>
      <c r="C6582" s="5" t="s">
        <v>11</v>
      </c>
      <c r="D6582" s="5" t="s">
        <v>12</v>
      </c>
      <c r="E6582" s="5" t="s">
        <v>3962</v>
      </c>
    </row>
    <row r="6583" spans="1:5" x14ac:dyDescent="0.25">
      <c r="A6583" s="5">
        <f>6575</f>
      </c>
      <c r="B6583" s="5" t="s">
        <v>5825</v>
      </c>
      <c r="C6583" s="5" t="s">
        <v>11</v>
      </c>
      <c r="D6583" s="5" t="s">
        <v>12</v>
      </c>
      <c r="E6583" s="5" t="s">
        <v>3962</v>
      </c>
    </row>
    <row r="6584" spans="1:5" x14ac:dyDescent="0.25">
      <c r="A6584" s="5">
        <f>6576</f>
      </c>
      <c r="B6584" s="5" t="s">
        <v>5826</v>
      </c>
      <c r="C6584" s="5" t="s">
        <v>11</v>
      </c>
      <c r="D6584" s="5" t="s">
        <v>12</v>
      </c>
      <c r="E6584" s="5" t="s">
        <v>3962</v>
      </c>
    </row>
    <row r="6585" spans="1:5" x14ac:dyDescent="0.25">
      <c r="A6585" s="5">
        <f>6577</f>
      </c>
      <c r="B6585" s="5" t="s">
        <v>5827</v>
      </c>
      <c r="C6585" s="5" t="s">
        <v>11</v>
      </c>
      <c r="D6585" s="5" t="s">
        <v>12</v>
      </c>
      <c r="E6585" s="5" t="s">
        <v>3962</v>
      </c>
    </row>
    <row r="6586" spans="1:5" x14ac:dyDescent="0.25">
      <c r="A6586" s="5">
        <f>6578</f>
      </c>
      <c r="B6586" s="5" t="s">
        <v>5828</v>
      </c>
      <c r="C6586" s="5" t="s">
        <v>11</v>
      </c>
      <c r="D6586" s="5" t="s">
        <v>12</v>
      </c>
      <c r="E6586" s="5" t="s">
        <v>3962</v>
      </c>
    </row>
    <row r="6587" spans="1:5" x14ac:dyDescent="0.25">
      <c r="A6587" s="5">
        <f>6579</f>
      </c>
      <c r="B6587" s="5" t="s">
        <v>5829</v>
      </c>
      <c r="C6587" s="5" t="s">
        <v>11</v>
      </c>
      <c r="D6587" s="5" t="s">
        <v>12</v>
      </c>
      <c r="E6587" s="5" t="s">
        <v>3962</v>
      </c>
    </row>
    <row r="6588" spans="1:5" x14ac:dyDescent="0.25">
      <c r="A6588" s="5">
        <f>6580</f>
      </c>
      <c r="B6588" s="5" t="s">
        <v>5830</v>
      </c>
      <c r="C6588" s="5" t="s">
        <v>11</v>
      </c>
      <c r="D6588" s="5" t="s">
        <v>12</v>
      </c>
      <c r="E6588" s="5" t="s">
        <v>3962</v>
      </c>
    </row>
    <row r="6589" spans="1:5" x14ac:dyDescent="0.25">
      <c r="A6589" s="5">
        <f>6581</f>
      </c>
      <c r="B6589" s="5" t="s">
        <v>5831</v>
      </c>
      <c r="C6589" s="5" t="s">
        <v>11</v>
      </c>
      <c r="D6589" s="5" t="s">
        <v>12</v>
      </c>
      <c r="E6589" s="5" t="s">
        <v>3962</v>
      </c>
    </row>
    <row r="6590" spans="1:5" x14ac:dyDescent="0.25">
      <c r="A6590" s="5">
        <f>6582</f>
      </c>
      <c r="B6590" s="5" t="s">
        <v>5832</v>
      </c>
      <c r="C6590" s="5" t="s">
        <v>11</v>
      </c>
      <c r="D6590" s="5" t="s">
        <v>12</v>
      </c>
      <c r="E6590" s="5" t="s">
        <v>3962</v>
      </c>
    </row>
    <row r="6591" spans="1:5" x14ac:dyDescent="0.25">
      <c r="A6591" s="5">
        <f>6583</f>
      </c>
      <c r="B6591" s="5" t="s">
        <v>5833</v>
      </c>
      <c r="C6591" s="5" t="s">
        <v>11</v>
      </c>
      <c r="D6591" s="5" t="s">
        <v>12</v>
      </c>
      <c r="E6591" s="5" t="s">
        <v>3962</v>
      </c>
    </row>
    <row r="6592" spans="1:5" x14ac:dyDescent="0.25">
      <c r="A6592" s="5">
        <f>6584</f>
      </c>
      <c r="B6592" s="5" t="s">
        <v>5834</v>
      </c>
      <c r="C6592" s="5" t="s">
        <v>11</v>
      </c>
      <c r="D6592" s="5" t="s">
        <v>12</v>
      </c>
      <c r="E6592" s="5" t="s">
        <v>3962</v>
      </c>
    </row>
    <row r="6593" spans="1:5" x14ac:dyDescent="0.25">
      <c r="A6593" s="5">
        <f>6585</f>
      </c>
      <c r="B6593" s="5" t="s">
        <v>5835</v>
      </c>
      <c r="C6593" s="5" t="s">
        <v>11</v>
      </c>
      <c r="D6593" s="5" t="s">
        <v>12</v>
      </c>
      <c r="E6593" s="5" t="s">
        <v>3962</v>
      </c>
    </row>
    <row r="6594" spans="1:5" x14ac:dyDescent="0.25">
      <c r="A6594" s="5">
        <f>6586</f>
      </c>
      <c r="B6594" s="5" t="s">
        <v>5836</v>
      </c>
      <c r="C6594" s="5" t="s">
        <v>11</v>
      </c>
      <c r="D6594" s="5" t="s">
        <v>12</v>
      </c>
      <c r="E6594" s="5" t="s">
        <v>3962</v>
      </c>
    </row>
    <row r="6595" spans="1:5" x14ac:dyDescent="0.25">
      <c r="A6595" s="5">
        <f>6587</f>
      </c>
      <c r="B6595" s="5" t="s">
        <v>5837</v>
      </c>
      <c r="C6595" s="5" t="s">
        <v>11</v>
      </c>
      <c r="D6595" s="5" t="s">
        <v>12</v>
      </c>
      <c r="E6595" s="5" t="s">
        <v>3962</v>
      </c>
    </row>
    <row r="6596" spans="1:5" x14ac:dyDescent="0.25">
      <c r="A6596" s="5">
        <f>6588</f>
      </c>
      <c r="B6596" s="5" t="s">
        <v>5838</v>
      </c>
      <c r="C6596" s="5" t="s">
        <v>11</v>
      </c>
      <c r="D6596" s="5" t="s">
        <v>12</v>
      </c>
      <c r="E6596" s="5" t="s">
        <v>3962</v>
      </c>
    </row>
    <row r="6597" spans="1:5" x14ac:dyDescent="0.25">
      <c r="A6597" s="5">
        <f>6589</f>
      </c>
      <c r="B6597" s="5" t="s">
        <v>5839</v>
      </c>
      <c r="C6597" s="5" t="s">
        <v>11</v>
      </c>
      <c r="D6597" s="5" t="s">
        <v>12</v>
      </c>
      <c r="E6597" s="5" t="s">
        <v>3962</v>
      </c>
    </row>
    <row r="6598" spans="1:5" x14ac:dyDescent="0.25">
      <c r="A6598" s="5">
        <f>6590</f>
      </c>
      <c r="B6598" s="5" t="s">
        <v>5840</v>
      </c>
      <c r="C6598" s="5" t="s">
        <v>11</v>
      </c>
      <c r="D6598" s="5" t="s">
        <v>12</v>
      </c>
      <c r="E6598" s="5" t="s">
        <v>3962</v>
      </c>
    </row>
    <row r="6599" spans="1:5" x14ac:dyDescent="0.25">
      <c r="A6599" s="5">
        <f>6591</f>
      </c>
      <c r="B6599" s="5" t="s">
        <v>5841</v>
      </c>
      <c r="C6599" s="5" t="s">
        <v>11</v>
      </c>
      <c r="D6599" s="5" t="s">
        <v>12</v>
      </c>
      <c r="E6599" s="5" t="s">
        <v>3962</v>
      </c>
    </row>
    <row r="6600" spans="1:5" x14ac:dyDescent="0.25">
      <c r="A6600" s="5">
        <f>6592</f>
      </c>
      <c r="B6600" s="5" t="s">
        <v>5842</v>
      </c>
      <c r="C6600" s="5" t="s">
        <v>11</v>
      </c>
      <c r="D6600" s="5" t="s">
        <v>12</v>
      </c>
      <c r="E6600" s="5" t="s">
        <v>3962</v>
      </c>
    </row>
    <row r="6601" spans="1:5" x14ac:dyDescent="0.25">
      <c r="A6601" s="5">
        <f>6593</f>
      </c>
      <c r="B6601" s="5" t="s">
        <v>5843</v>
      </c>
      <c r="C6601" s="5" t="s">
        <v>11</v>
      </c>
      <c r="D6601" s="5" t="s">
        <v>12</v>
      </c>
      <c r="E6601" s="5" t="s">
        <v>3962</v>
      </c>
    </row>
    <row r="6602" spans="1:5" x14ac:dyDescent="0.25">
      <c r="A6602" s="5">
        <f>6594</f>
      </c>
      <c r="B6602" s="5" t="s">
        <v>5844</v>
      </c>
      <c r="C6602" s="5" t="s">
        <v>11</v>
      </c>
      <c r="D6602" s="5" t="s">
        <v>12</v>
      </c>
      <c r="E6602" s="5" t="s">
        <v>3962</v>
      </c>
    </row>
    <row r="6603" spans="1:5" x14ac:dyDescent="0.25">
      <c r="A6603" s="5">
        <f>6595</f>
      </c>
      <c r="B6603" s="5" t="s">
        <v>5845</v>
      </c>
      <c r="C6603" s="5" t="s">
        <v>11</v>
      </c>
      <c r="D6603" s="5" t="s">
        <v>12</v>
      </c>
      <c r="E6603" s="5" t="s">
        <v>3962</v>
      </c>
    </row>
    <row r="6604" spans="1:5" x14ac:dyDescent="0.25">
      <c r="A6604" s="5">
        <f>6596</f>
      </c>
      <c r="B6604" s="5" t="s">
        <v>5846</v>
      </c>
      <c r="C6604" s="5" t="s">
        <v>11</v>
      </c>
      <c r="D6604" s="5" t="s">
        <v>12</v>
      </c>
      <c r="E6604" s="5" t="s">
        <v>3962</v>
      </c>
    </row>
    <row r="6605" spans="1:5" x14ac:dyDescent="0.25">
      <c r="A6605" s="5">
        <f>6597</f>
      </c>
      <c r="B6605" s="5" t="s">
        <v>5847</v>
      </c>
      <c r="C6605" s="5" t="s">
        <v>11</v>
      </c>
      <c r="D6605" s="5" t="s">
        <v>12</v>
      </c>
      <c r="E6605" s="5" t="s">
        <v>3962</v>
      </c>
    </row>
    <row r="6606" spans="1:5" x14ac:dyDescent="0.25">
      <c r="A6606" s="5">
        <f>6598</f>
      </c>
      <c r="B6606" s="5" t="s">
        <v>5848</v>
      </c>
      <c r="C6606" s="5" t="s">
        <v>11</v>
      </c>
      <c r="D6606" s="5" t="s">
        <v>12</v>
      </c>
      <c r="E6606" s="5" t="s">
        <v>3962</v>
      </c>
    </row>
    <row r="6607" spans="1:5" x14ac:dyDescent="0.25">
      <c r="A6607" s="5">
        <f>6599</f>
      </c>
      <c r="B6607" s="5" t="s">
        <v>5849</v>
      </c>
      <c r="C6607" s="5" t="s">
        <v>11</v>
      </c>
      <c r="D6607" s="5" t="s">
        <v>12</v>
      </c>
      <c r="E6607" s="5" t="s">
        <v>3962</v>
      </c>
    </row>
    <row r="6608" spans="1:5" x14ac:dyDescent="0.25">
      <c r="A6608" s="5">
        <f>6600</f>
      </c>
      <c r="B6608" s="5" t="s">
        <v>5850</v>
      </c>
      <c r="C6608" s="5" t="s">
        <v>11</v>
      </c>
      <c r="D6608" s="5" t="s">
        <v>12</v>
      </c>
      <c r="E6608" s="5" t="s">
        <v>3962</v>
      </c>
    </row>
    <row r="6609" spans="1:5" x14ac:dyDescent="0.25">
      <c r="A6609" s="5">
        <f>6601</f>
      </c>
      <c r="B6609" s="5" t="s">
        <v>5851</v>
      </c>
      <c r="C6609" s="5" t="s">
        <v>11</v>
      </c>
      <c r="D6609" s="5" t="s">
        <v>12</v>
      </c>
      <c r="E6609" s="5" t="s">
        <v>3962</v>
      </c>
    </row>
    <row r="6610" spans="1:5" x14ac:dyDescent="0.25">
      <c r="A6610" s="5">
        <f>6602</f>
      </c>
      <c r="B6610" s="5" t="s">
        <v>5852</v>
      </c>
      <c r="C6610" s="5" t="s">
        <v>11</v>
      </c>
      <c r="D6610" s="5" t="s">
        <v>12</v>
      </c>
      <c r="E6610" s="5" t="s">
        <v>3962</v>
      </c>
    </row>
    <row r="6611" spans="1:5" x14ac:dyDescent="0.25">
      <c r="A6611" s="5">
        <f>6603</f>
      </c>
      <c r="B6611" s="5" t="s">
        <v>5853</v>
      </c>
      <c r="C6611" s="5" t="s">
        <v>11</v>
      </c>
      <c r="D6611" s="5" t="s">
        <v>12</v>
      </c>
      <c r="E6611" s="5" t="s">
        <v>3962</v>
      </c>
    </row>
    <row r="6612" spans="1:5" x14ac:dyDescent="0.25">
      <c r="A6612" s="5">
        <f>6604</f>
      </c>
      <c r="B6612" s="5" t="s">
        <v>5854</v>
      </c>
      <c r="C6612" s="5" t="s">
        <v>11</v>
      </c>
      <c r="D6612" s="5" t="s">
        <v>12</v>
      </c>
      <c r="E6612" s="5" t="s">
        <v>3962</v>
      </c>
    </row>
    <row r="6613" spans="1:5" x14ac:dyDescent="0.25">
      <c r="A6613" s="5">
        <f>6605</f>
      </c>
      <c r="B6613" s="5" t="s">
        <v>5855</v>
      </c>
      <c r="C6613" s="5" t="s">
        <v>11</v>
      </c>
      <c r="D6613" s="5" t="s">
        <v>12</v>
      </c>
      <c r="E6613" s="5" t="s">
        <v>3962</v>
      </c>
    </row>
    <row r="6614" spans="1:5" x14ac:dyDescent="0.25">
      <c r="A6614" s="5">
        <f>6606</f>
      </c>
      <c r="B6614" s="5" t="s">
        <v>5856</v>
      </c>
      <c r="C6614" s="5" t="s">
        <v>11</v>
      </c>
      <c r="D6614" s="5" t="s">
        <v>12</v>
      </c>
      <c r="E6614" s="5" t="s">
        <v>3962</v>
      </c>
    </row>
    <row r="6615" spans="1:5" x14ac:dyDescent="0.25">
      <c r="A6615" s="5">
        <f>6607</f>
      </c>
      <c r="B6615" s="5" t="s">
        <v>5857</v>
      </c>
      <c r="C6615" s="5" t="s">
        <v>11</v>
      </c>
      <c r="D6615" s="5" t="s">
        <v>12</v>
      </c>
      <c r="E6615" s="5" t="s">
        <v>3962</v>
      </c>
    </row>
    <row r="6616" spans="1:5" x14ac:dyDescent="0.25">
      <c r="A6616" s="5">
        <f>6608</f>
      </c>
      <c r="B6616" s="5" t="s">
        <v>5858</v>
      </c>
      <c r="C6616" s="5" t="s">
        <v>11</v>
      </c>
      <c r="D6616" s="5" t="s">
        <v>12</v>
      </c>
      <c r="E6616" s="5" t="s">
        <v>3962</v>
      </c>
    </row>
    <row r="6617" spans="1:5" x14ac:dyDescent="0.25">
      <c r="A6617" s="5">
        <f>6609</f>
      </c>
      <c r="B6617" s="5" t="s">
        <v>5859</v>
      </c>
      <c r="C6617" s="5" t="s">
        <v>11</v>
      </c>
      <c r="D6617" s="5" t="s">
        <v>12</v>
      </c>
      <c r="E6617" s="5" t="s">
        <v>3962</v>
      </c>
    </row>
    <row r="6618" spans="1:5" x14ac:dyDescent="0.25">
      <c r="A6618" s="5">
        <f>6610</f>
      </c>
      <c r="B6618" s="5" t="s">
        <v>5860</v>
      </c>
      <c r="C6618" s="5" t="s">
        <v>11</v>
      </c>
      <c r="D6618" s="5" t="s">
        <v>12</v>
      </c>
      <c r="E6618" s="5" t="s">
        <v>3962</v>
      </c>
    </row>
    <row r="6619" spans="1:5" x14ac:dyDescent="0.25">
      <c r="A6619" s="5">
        <f>6611</f>
      </c>
      <c r="B6619" s="5" t="s">
        <v>5861</v>
      </c>
      <c r="C6619" s="5" t="s">
        <v>11</v>
      </c>
      <c r="D6619" s="5" t="s">
        <v>12</v>
      </c>
      <c r="E6619" s="5" t="s">
        <v>3962</v>
      </c>
    </row>
    <row r="6620" spans="1:5" x14ac:dyDescent="0.25">
      <c r="A6620" s="5">
        <f>6612</f>
      </c>
      <c r="B6620" s="5" t="s">
        <v>5862</v>
      </c>
      <c r="C6620" s="5" t="s">
        <v>11</v>
      </c>
      <c r="D6620" s="5" t="s">
        <v>12</v>
      </c>
      <c r="E6620" s="5" t="s">
        <v>3962</v>
      </c>
    </row>
    <row r="6621" spans="1:5" x14ac:dyDescent="0.25">
      <c r="A6621" s="5">
        <f>6613</f>
      </c>
      <c r="B6621" s="5" t="s">
        <v>5863</v>
      </c>
      <c r="C6621" s="5" t="s">
        <v>11</v>
      </c>
      <c r="D6621" s="5" t="s">
        <v>12</v>
      </c>
      <c r="E6621" s="5" t="s">
        <v>3962</v>
      </c>
    </row>
    <row r="6622" spans="1:5" x14ac:dyDescent="0.25">
      <c r="A6622" s="5">
        <f>6614</f>
      </c>
      <c r="B6622" s="5" t="s">
        <v>5864</v>
      </c>
      <c r="C6622" s="5" t="s">
        <v>11</v>
      </c>
      <c r="D6622" s="5" t="s">
        <v>12</v>
      </c>
      <c r="E6622" s="5" t="s">
        <v>3962</v>
      </c>
    </row>
    <row r="6623" spans="1:5" x14ac:dyDescent="0.25">
      <c r="A6623" s="5">
        <f>6615</f>
      </c>
      <c r="B6623" s="5" t="s">
        <v>5865</v>
      </c>
      <c r="C6623" s="5" t="s">
        <v>11</v>
      </c>
      <c r="D6623" s="5" t="s">
        <v>12</v>
      </c>
      <c r="E6623" s="5" t="s">
        <v>3962</v>
      </c>
    </row>
    <row r="6624" spans="1:5" x14ac:dyDescent="0.25">
      <c r="A6624" s="5">
        <f>6616</f>
      </c>
      <c r="B6624" s="5" t="s">
        <v>5866</v>
      </c>
      <c r="C6624" s="5" t="s">
        <v>11</v>
      </c>
      <c r="D6624" s="5" t="s">
        <v>12</v>
      </c>
      <c r="E6624" s="5" t="s">
        <v>3962</v>
      </c>
    </row>
    <row r="6625" spans="1:5" x14ac:dyDescent="0.25">
      <c r="A6625" s="5">
        <f>6617</f>
      </c>
      <c r="B6625" s="5" t="s">
        <v>5867</v>
      </c>
      <c r="C6625" s="5" t="s">
        <v>11</v>
      </c>
      <c r="D6625" s="5" t="s">
        <v>12</v>
      </c>
      <c r="E6625" s="5" t="s">
        <v>3962</v>
      </c>
    </row>
    <row r="6626" spans="1:5" x14ac:dyDescent="0.25">
      <c r="A6626" s="5">
        <f>6618</f>
      </c>
      <c r="B6626" s="5" t="s">
        <v>5868</v>
      </c>
      <c r="C6626" s="5" t="s">
        <v>11</v>
      </c>
      <c r="D6626" s="5" t="s">
        <v>12</v>
      </c>
      <c r="E6626" s="5" t="s">
        <v>3962</v>
      </c>
    </row>
    <row r="6627" spans="1:5" x14ac:dyDescent="0.25">
      <c r="A6627" s="5">
        <f>6619</f>
      </c>
      <c r="B6627" s="5" t="s">
        <v>5869</v>
      </c>
      <c r="C6627" s="5" t="s">
        <v>11</v>
      </c>
      <c r="D6627" s="5" t="s">
        <v>12</v>
      </c>
      <c r="E6627" s="5" t="s">
        <v>3962</v>
      </c>
    </row>
    <row r="6628" spans="1:5" x14ac:dyDescent="0.25">
      <c r="A6628" s="5">
        <f>6620</f>
      </c>
      <c r="B6628" s="5" t="s">
        <v>5870</v>
      </c>
      <c r="C6628" s="5" t="s">
        <v>11</v>
      </c>
      <c r="D6628" s="5" t="s">
        <v>12</v>
      </c>
      <c r="E6628" s="5" t="s">
        <v>3962</v>
      </c>
    </row>
    <row r="6629" spans="1:5" x14ac:dyDescent="0.25">
      <c r="A6629" s="5">
        <f>6621</f>
      </c>
      <c r="B6629" s="5" t="s">
        <v>5871</v>
      </c>
      <c r="C6629" s="5" t="s">
        <v>11</v>
      </c>
      <c r="D6629" s="5" t="s">
        <v>12</v>
      </c>
      <c r="E6629" s="5" t="s">
        <v>3962</v>
      </c>
    </row>
    <row r="6630" spans="1:5" x14ac:dyDescent="0.25">
      <c r="A6630" s="5">
        <f>6622</f>
      </c>
      <c r="B6630" s="5" t="s">
        <v>5872</v>
      </c>
      <c r="C6630" s="5" t="s">
        <v>11</v>
      </c>
      <c r="D6630" s="5" t="s">
        <v>12</v>
      </c>
      <c r="E6630" s="5" t="s">
        <v>3962</v>
      </c>
    </row>
    <row r="6631" spans="1:5" x14ac:dyDescent="0.25">
      <c r="A6631" s="5">
        <f>6623</f>
      </c>
      <c r="B6631" s="5" t="s">
        <v>5873</v>
      </c>
      <c r="C6631" s="5" t="s">
        <v>11</v>
      </c>
      <c r="D6631" s="5" t="s">
        <v>12</v>
      </c>
      <c r="E6631" s="5" t="s">
        <v>3962</v>
      </c>
    </row>
    <row r="6632" spans="1:5" x14ac:dyDescent="0.25">
      <c r="A6632" s="5">
        <f>6624</f>
      </c>
      <c r="B6632" s="5" t="s">
        <v>5874</v>
      </c>
      <c r="C6632" s="5" t="s">
        <v>11</v>
      </c>
      <c r="D6632" s="5" t="s">
        <v>12</v>
      </c>
      <c r="E6632" s="5" t="s">
        <v>3962</v>
      </c>
    </row>
    <row r="6633" spans="1:5" x14ac:dyDescent="0.25">
      <c r="A6633" s="5">
        <f>6625</f>
      </c>
      <c r="B6633" s="5" t="s">
        <v>5875</v>
      </c>
      <c r="C6633" s="5" t="s">
        <v>11</v>
      </c>
      <c r="D6633" s="5" t="s">
        <v>12</v>
      </c>
      <c r="E6633" s="5" t="s">
        <v>3962</v>
      </c>
    </row>
    <row r="6634" spans="1:5" x14ac:dyDescent="0.25">
      <c r="A6634" s="5">
        <f>6626</f>
      </c>
      <c r="B6634" s="5" t="s">
        <v>5876</v>
      </c>
      <c r="C6634" s="5" t="s">
        <v>11</v>
      </c>
      <c r="D6634" s="5" t="s">
        <v>12</v>
      </c>
      <c r="E6634" s="5" t="s">
        <v>3962</v>
      </c>
    </row>
    <row r="6635" spans="1:5" x14ac:dyDescent="0.25">
      <c r="A6635" s="5">
        <f>6627</f>
      </c>
      <c r="B6635" s="5" t="s">
        <v>5877</v>
      </c>
      <c r="C6635" s="5" t="s">
        <v>11</v>
      </c>
      <c r="D6635" s="5" t="s">
        <v>12</v>
      </c>
      <c r="E6635" s="5" t="s">
        <v>3962</v>
      </c>
    </row>
    <row r="6636" spans="1:5" x14ac:dyDescent="0.25">
      <c r="A6636" s="5">
        <f>6628</f>
      </c>
      <c r="B6636" s="5" t="s">
        <v>5878</v>
      </c>
      <c r="C6636" s="5" t="s">
        <v>11</v>
      </c>
      <c r="D6636" s="5" t="s">
        <v>12</v>
      </c>
      <c r="E6636" s="5" t="s">
        <v>3962</v>
      </c>
    </row>
    <row r="6637" spans="1:5" x14ac:dyDescent="0.25">
      <c r="A6637" s="5">
        <f>6629</f>
      </c>
      <c r="B6637" s="5" t="s">
        <v>5879</v>
      </c>
      <c r="C6637" s="5" t="s">
        <v>11</v>
      </c>
      <c r="D6637" s="5" t="s">
        <v>12</v>
      </c>
      <c r="E6637" s="5" t="s">
        <v>3962</v>
      </c>
    </row>
    <row r="6638" spans="1:5" x14ac:dyDescent="0.25">
      <c r="A6638" s="5">
        <f>6630</f>
      </c>
      <c r="B6638" s="5" t="s">
        <v>5880</v>
      </c>
      <c r="C6638" s="5" t="s">
        <v>11</v>
      </c>
      <c r="D6638" s="5" t="s">
        <v>12</v>
      </c>
      <c r="E6638" s="5" t="s">
        <v>3962</v>
      </c>
    </row>
    <row r="6639" spans="1:5" x14ac:dyDescent="0.25">
      <c r="A6639" s="5">
        <f>6631</f>
      </c>
      <c r="B6639" s="5" t="s">
        <v>5881</v>
      </c>
      <c r="C6639" s="5" t="s">
        <v>11</v>
      </c>
      <c r="D6639" s="5" t="s">
        <v>12</v>
      </c>
      <c r="E6639" s="5" t="s">
        <v>3962</v>
      </c>
    </row>
    <row r="6640" spans="1:5" x14ac:dyDescent="0.25">
      <c r="A6640" s="5">
        <f>6632</f>
      </c>
      <c r="B6640" s="5" t="s">
        <v>5882</v>
      </c>
      <c r="C6640" s="5" t="s">
        <v>11</v>
      </c>
      <c r="D6640" s="5" t="s">
        <v>12</v>
      </c>
      <c r="E6640" s="5" t="s">
        <v>3962</v>
      </c>
    </row>
    <row r="6641" spans="1:5" x14ac:dyDescent="0.25">
      <c r="A6641" s="5">
        <f>6633</f>
      </c>
      <c r="B6641" s="5" t="s">
        <v>5883</v>
      </c>
      <c r="C6641" s="5" t="s">
        <v>11</v>
      </c>
      <c r="D6641" s="5" t="s">
        <v>12</v>
      </c>
      <c r="E6641" s="5" t="s">
        <v>3962</v>
      </c>
    </row>
    <row r="6642" spans="1:5" x14ac:dyDescent="0.25">
      <c r="A6642" s="5">
        <f>6634</f>
      </c>
      <c r="B6642" s="5" t="s">
        <v>5884</v>
      </c>
      <c r="C6642" s="5" t="s">
        <v>11</v>
      </c>
      <c r="D6642" s="5" t="s">
        <v>12</v>
      </c>
      <c r="E6642" s="5" t="s">
        <v>3962</v>
      </c>
    </row>
    <row r="6643" spans="1:5" x14ac:dyDescent="0.25">
      <c r="A6643" s="5">
        <f>6635</f>
      </c>
      <c r="B6643" s="5" t="s">
        <v>5885</v>
      </c>
      <c r="C6643" s="5" t="s">
        <v>11</v>
      </c>
      <c r="D6643" s="5" t="s">
        <v>12</v>
      </c>
      <c r="E6643" s="5" t="s">
        <v>3962</v>
      </c>
    </row>
    <row r="6644" spans="1:5" x14ac:dyDescent="0.25">
      <c r="A6644" s="5">
        <f>6636</f>
      </c>
      <c r="B6644" s="5" t="s">
        <v>5886</v>
      </c>
      <c r="C6644" s="5" t="s">
        <v>11</v>
      </c>
      <c r="D6644" s="5" t="s">
        <v>12</v>
      </c>
      <c r="E6644" s="5" t="s">
        <v>3962</v>
      </c>
    </row>
    <row r="6645" spans="1:5" x14ac:dyDescent="0.25">
      <c r="A6645" s="5">
        <f>6637</f>
      </c>
      <c r="B6645" s="5" t="s">
        <v>5887</v>
      </c>
      <c r="C6645" s="5" t="s">
        <v>11</v>
      </c>
      <c r="D6645" s="5" t="s">
        <v>12</v>
      </c>
      <c r="E6645" s="5" t="s">
        <v>3962</v>
      </c>
    </row>
    <row r="6646" spans="1:5" x14ac:dyDescent="0.25">
      <c r="A6646" s="5">
        <f>6638</f>
      </c>
      <c r="B6646" s="5" t="s">
        <v>5888</v>
      </c>
      <c r="C6646" s="5" t="s">
        <v>11</v>
      </c>
      <c r="D6646" s="5" t="s">
        <v>12</v>
      </c>
      <c r="E6646" s="5" t="s">
        <v>3962</v>
      </c>
    </row>
    <row r="6647" spans="1:5" x14ac:dyDescent="0.25">
      <c r="A6647" s="5">
        <f>6639</f>
      </c>
      <c r="B6647" s="5" t="s">
        <v>5889</v>
      </c>
      <c r="C6647" s="5" t="s">
        <v>11</v>
      </c>
      <c r="D6647" s="5" t="s">
        <v>12</v>
      </c>
      <c r="E6647" s="5" t="s">
        <v>3962</v>
      </c>
    </row>
    <row r="6648" spans="1:5" x14ac:dyDescent="0.25">
      <c r="A6648" s="5">
        <f>6640</f>
      </c>
      <c r="B6648" s="5" t="s">
        <v>5890</v>
      </c>
      <c r="C6648" s="5" t="s">
        <v>11</v>
      </c>
      <c r="D6648" s="5" t="s">
        <v>12</v>
      </c>
      <c r="E6648" s="5" t="s">
        <v>3962</v>
      </c>
    </row>
    <row r="6649" spans="1:5" x14ac:dyDescent="0.25">
      <c r="A6649" s="5">
        <f>6641</f>
      </c>
      <c r="B6649" s="5" t="s">
        <v>5891</v>
      </c>
      <c r="C6649" s="5" t="s">
        <v>11</v>
      </c>
      <c r="D6649" s="5" t="s">
        <v>12</v>
      </c>
      <c r="E6649" s="5" t="s">
        <v>3962</v>
      </c>
    </row>
    <row r="6650" spans="1:5" x14ac:dyDescent="0.25">
      <c r="A6650" s="5">
        <f>6642</f>
      </c>
      <c r="B6650" s="5" t="s">
        <v>5892</v>
      </c>
      <c r="C6650" s="5" t="s">
        <v>11</v>
      </c>
      <c r="D6650" s="5" t="s">
        <v>12</v>
      </c>
      <c r="E6650" s="5" t="s">
        <v>3962</v>
      </c>
    </row>
    <row r="6651" spans="1:5" x14ac:dyDescent="0.25">
      <c r="A6651" s="5">
        <f>6643</f>
      </c>
      <c r="B6651" s="5" t="s">
        <v>5893</v>
      </c>
      <c r="C6651" s="5" t="s">
        <v>11</v>
      </c>
      <c r="D6651" s="5" t="s">
        <v>12</v>
      </c>
      <c r="E6651" s="5" t="s">
        <v>3962</v>
      </c>
    </row>
    <row r="6652" spans="1:5" x14ac:dyDescent="0.25">
      <c r="A6652" s="5">
        <f>6644</f>
      </c>
      <c r="B6652" s="5" t="s">
        <v>5894</v>
      </c>
      <c r="C6652" s="5" t="s">
        <v>11</v>
      </c>
      <c r="D6652" s="5" t="s">
        <v>12</v>
      </c>
      <c r="E6652" s="5" t="s">
        <v>3962</v>
      </c>
    </row>
    <row r="6653" spans="1:5" x14ac:dyDescent="0.25">
      <c r="A6653" s="5">
        <f>6645</f>
      </c>
      <c r="B6653" s="5" t="s">
        <v>5895</v>
      </c>
      <c r="C6653" s="5" t="s">
        <v>11</v>
      </c>
      <c r="D6653" s="5" t="s">
        <v>12</v>
      </c>
      <c r="E6653" s="5" t="s">
        <v>3962</v>
      </c>
    </row>
    <row r="6654" spans="1:5" x14ac:dyDescent="0.25">
      <c r="A6654" s="5">
        <f>6646</f>
      </c>
      <c r="B6654" s="5" t="s">
        <v>5896</v>
      </c>
      <c r="C6654" s="5" t="s">
        <v>11</v>
      </c>
      <c r="D6654" s="5" t="s">
        <v>12</v>
      </c>
      <c r="E6654" s="5" t="s">
        <v>3962</v>
      </c>
    </row>
    <row r="6655" spans="1:5" x14ac:dyDescent="0.25">
      <c r="A6655" s="5">
        <f>6647</f>
      </c>
      <c r="B6655" s="5" t="s">
        <v>5897</v>
      </c>
      <c r="C6655" s="5" t="s">
        <v>11</v>
      </c>
      <c r="D6655" s="5" t="s">
        <v>12</v>
      </c>
      <c r="E6655" s="5" t="s">
        <v>3962</v>
      </c>
    </row>
    <row r="6656" spans="1:5" x14ac:dyDescent="0.25">
      <c r="A6656" s="5">
        <f>6648</f>
      </c>
      <c r="B6656" s="5" t="s">
        <v>5898</v>
      </c>
      <c r="C6656" s="5" t="s">
        <v>11</v>
      </c>
      <c r="D6656" s="5" t="s">
        <v>12</v>
      </c>
      <c r="E6656" s="5" t="s">
        <v>3962</v>
      </c>
    </row>
    <row r="6657" spans="1:5" x14ac:dyDescent="0.25">
      <c r="A6657" s="5">
        <f>6649</f>
      </c>
      <c r="B6657" s="5" t="s">
        <v>5899</v>
      </c>
      <c r="C6657" s="5" t="s">
        <v>11</v>
      </c>
      <c r="D6657" s="5" t="s">
        <v>12</v>
      </c>
      <c r="E6657" s="5" t="s">
        <v>3962</v>
      </c>
    </row>
    <row r="6658" spans="1:5" x14ac:dyDescent="0.25">
      <c r="A6658" s="5">
        <f>6650</f>
      </c>
      <c r="B6658" s="5" t="s">
        <v>5900</v>
      </c>
      <c r="C6658" s="5" t="s">
        <v>11</v>
      </c>
      <c r="D6658" s="5" t="s">
        <v>12</v>
      </c>
      <c r="E6658" s="5" t="s">
        <v>3962</v>
      </c>
    </row>
    <row r="6659" spans="1:5" x14ac:dyDescent="0.25">
      <c r="A6659" s="5">
        <f>6651</f>
      </c>
      <c r="B6659" s="5" t="s">
        <v>5901</v>
      </c>
      <c r="C6659" s="5" t="s">
        <v>11</v>
      </c>
      <c r="D6659" s="5" t="s">
        <v>12</v>
      </c>
      <c r="E6659" s="5" t="s">
        <v>3962</v>
      </c>
    </row>
    <row r="6660" spans="1:5" x14ac:dyDescent="0.25">
      <c r="A6660" s="5">
        <f>6652</f>
      </c>
      <c r="B6660" s="5" t="s">
        <v>5902</v>
      </c>
      <c r="C6660" s="5" t="s">
        <v>11</v>
      </c>
      <c r="D6660" s="5" t="s">
        <v>12</v>
      </c>
      <c r="E6660" s="5" t="s">
        <v>3962</v>
      </c>
    </row>
    <row r="6661" spans="1:5" x14ac:dyDescent="0.25">
      <c r="A6661" s="5">
        <f>6653</f>
      </c>
      <c r="B6661" s="5" t="s">
        <v>5903</v>
      </c>
      <c r="C6661" s="5" t="s">
        <v>11</v>
      </c>
      <c r="D6661" s="5" t="s">
        <v>12</v>
      </c>
      <c r="E6661" s="5" t="s">
        <v>3962</v>
      </c>
    </row>
    <row r="6662" spans="1:5" x14ac:dyDescent="0.25">
      <c r="A6662" s="5">
        <f>6654</f>
      </c>
      <c r="B6662" s="5" t="s">
        <v>5904</v>
      </c>
      <c r="C6662" s="5" t="s">
        <v>11</v>
      </c>
      <c r="D6662" s="5" t="s">
        <v>12</v>
      </c>
      <c r="E6662" s="5" t="s">
        <v>3962</v>
      </c>
    </row>
    <row r="6663" spans="1:5" x14ac:dyDescent="0.25">
      <c r="A6663" s="5">
        <f>6655</f>
      </c>
      <c r="B6663" s="5" t="s">
        <v>5905</v>
      </c>
      <c r="C6663" s="5" t="s">
        <v>11</v>
      </c>
      <c r="D6663" s="5" t="s">
        <v>12</v>
      </c>
      <c r="E6663" s="5" t="s">
        <v>3962</v>
      </c>
    </row>
    <row r="6664" spans="1:5" x14ac:dyDescent="0.25">
      <c r="A6664" s="5">
        <f>6656</f>
      </c>
      <c r="B6664" s="5" t="s">
        <v>5906</v>
      </c>
      <c r="C6664" s="5" t="s">
        <v>11</v>
      </c>
      <c r="D6664" s="5" t="s">
        <v>12</v>
      </c>
      <c r="E6664" s="5" t="s">
        <v>3962</v>
      </c>
    </row>
    <row r="6665" spans="1:5" x14ac:dyDescent="0.25">
      <c r="A6665" s="5">
        <f>6657</f>
      </c>
      <c r="B6665" s="5" t="s">
        <v>5907</v>
      </c>
      <c r="C6665" s="5" t="s">
        <v>11</v>
      </c>
      <c r="D6665" s="5" t="s">
        <v>12</v>
      </c>
      <c r="E6665" s="5" t="s">
        <v>3962</v>
      </c>
    </row>
    <row r="6666" spans="1:5" x14ac:dyDescent="0.25">
      <c r="A6666" s="5">
        <f>6658</f>
      </c>
      <c r="B6666" s="5" t="s">
        <v>5908</v>
      </c>
      <c r="C6666" s="5" t="s">
        <v>11</v>
      </c>
      <c r="D6666" s="5" t="s">
        <v>12</v>
      </c>
      <c r="E6666" s="5" t="s">
        <v>3962</v>
      </c>
    </row>
    <row r="6667" spans="1:5" x14ac:dyDescent="0.25">
      <c r="A6667" s="5">
        <f>6659</f>
      </c>
      <c r="B6667" s="5" t="s">
        <v>5909</v>
      </c>
      <c r="C6667" s="5" t="s">
        <v>11</v>
      </c>
      <c r="D6667" s="5" t="s">
        <v>12</v>
      </c>
      <c r="E6667" s="5" t="s">
        <v>3962</v>
      </c>
    </row>
    <row r="6668" spans="1:5" x14ac:dyDescent="0.25">
      <c r="A6668" s="5">
        <f>6660</f>
      </c>
      <c r="B6668" s="5" t="s">
        <v>5910</v>
      </c>
      <c r="C6668" s="5" t="s">
        <v>11</v>
      </c>
      <c r="D6668" s="5" t="s">
        <v>12</v>
      </c>
      <c r="E6668" s="5" t="s">
        <v>3962</v>
      </c>
    </row>
    <row r="6669" spans="1:5" x14ac:dyDescent="0.25">
      <c r="A6669" s="5">
        <f>6661</f>
      </c>
      <c r="B6669" s="5" t="s">
        <v>5911</v>
      </c>
      <c r="C6669" s="5" t="s">
        <v>11</v>
      </c>
      <c r="D6669" s="5" t="s">
        <v>12</v>
      </c>
      <c r="E6669" s="5" t="s">
        <v>3962</v>
      </c>
    </row>
    <row r="6670" spans="1:5" x14ac:dyDescent="0.25">
      <c r="A6670" s="5">
        <f>6662</f>
      </c>
      <c r="B6670" s="5" t="s">
        <v>5912</v>
      </c>
      <c r="C6670" s="5" t="s">
        <v>11</v>
      </c>
      <c r="D6670" s="5" t="s">
        <v>12</v>
      </c>
      <c r="E6670" s="5" t="s">
        <v>3962</v>
      </c>
    </row>
    <row r="6671" spans="1:5" x14ac:dyDescent="0.25">
      <c r="A6671" s="5">
        <f>6663</f>
      </c>
      <c r="B6671" s="5" t="s">
        <v>5913</v>
      </c>
      <c r="C6671" s="5" t="s">
        <v>11</v>
      </c>
      <c r="D6671" s="5" t="s">
        <v>12</v>
      </c>
      <c r="E6671" s="5" t="s">
        <v>3962</v>
      </c>
    </row>
    <row r="6672" spans="1:5" x14ac:dyDescent="0.25">
      <c r="A6672" s="5">
        <f>6664</f>
      </c>
      <c r="B6672" s="5" t="s">
        <v>5914</v>
      </c>
      <c r="C6672" s="5" t="s">
        <v>11</v>
      </c>
      <c r="D6672" s="5" t="s">
        <v>12</v>
      </c>
      <c r="E6672" s="5" t="s">
        <v>3962</v>
      </c>
    </row>
    <row r="6673" spans="1:5" x14ac:dyDescent="0.25">
      <c r="A6673" s="5">
        <f>6665</f>
      </c>
      <c r="B6673" s="5" t="s">
        <v>5915</v>
      </c>
      <c r="C6673" s="5" t="s">
        <v>11</v>
      </c>
      <c r="D6673" s="5" t="s">
        <v>12</v>
      </c>
      <c r="E6673" s="5" t="s">
        <v>3962</v>
      </c>
    </row>
    <row r="6674" spans="1:5" x14ac:dyDescent="0.25">
      <c r="A6674" s="5">
        <f>6666</f>
      </c>
      <c r="B6674" s="5" t="s">
        <v>5916</v>
      </c>
      <c r="C6674" s="5" t="s">
        <v>11</v>
      </c>
      <c r="D6674" s="5" t="s">
        <v>12</v>
      </c>
      <c r="E6674" s="5" t="s">
        <v>3962</v>
      </c>
    </row>
    <row r="6675" spans="1:5" x14ac:dyDescent="0.25">
      <c r="A6675" s="5">
        <f>6667</f>
      </c>
      <c r="B6675" s="5" t="s">
        <v>5917</v>
      </c>
      <c r="C6675" s="5" t="s">
        <v>11</v>
      </c>
      <c r="D6675" s="5" t="s">
        <v>12</v>
      </c>
      <c r="E6675" s="5" t="s">
        <v>3962</v>
      </c>
    </row>
    <row r="6676" spans="1:5" x14ac:dyDescent="0.25">
      <c r="A6676" s="5">
        <f>6668</f>
      </c>
      <c r="B6676" s="5" t="s">
        <v>5918</v>
      </c>
      <c r="C6676" s="5" t="s">
        <v>11</v>
      </c>
      <c r="D6676" s="5" t="s">
        <v>12</v>
      </c>
      <c r="E6676" s="5" t="s">
        <v>3962</v>
      </c>
    </row>
    <row r="6677" spans="1:5" x14ac:dyDescent="0.25">
      <c r="A6677" s="5">
        <f>6669</f>
      </c>
      <c r="B6677" s="5" t="s">
        <v>5919</v>
      </c>
      <c r="C6677" s="5" t="s">
        <v>11</v>
      </c>
      <c r="D6677" s="5" t="s">
        <v>12</v>
      </c>
      <c r="E6677" s="5" t="s">
        <v>3962</v>
      </c>
    </row>
    <row r="6678" spans="1:5" x14ac:dyDescent="0.25">
      <c r="A6678" s="5">
        <f>6670</f>
      </c>
      <c r="B6678" s="5" t="s">
        <v>5920</v>
      </c>
      <c r="C6678" s="5" t="s">
        <v>11</v>
      </c>
      <c r="D6678" s="5" t="s">
        <v>12</v>
      </c>
      <c r="E6678" s="5" t="s">
        <v>3962</v>
      </c>
    </row>
    <row r="6679" spans="1:5" x14ac:dyDescent="0.25">
      <c r="A6679" s="5">
        <f>6671</f>
      </c>
      <c r="B6679" s="5" t="s">
        <v>5921</v>
      </c>
      <c r="C6679" s="5" t="s">
        <v>11</v>
      </c>
      <c r="D6679" s="5" t="s">
        <v>12</v>
      </c>
      <c r="E6679" s="5" t="s">
        <v>3962</v>
      </c>
    </row>
    <row r="6680" spans="1:5" x14ac:dyDescent="0.25">
      <c r="A6680" s="5">
        <f>6672</f>
      </c>
      <c r="B6680" s="5" t="s">
        <v>5922</v>
      </c>
      <c r="C6680" s="5" t="s">
        <v>11</v>
      </c>
      <c r="D6680" s="5" t="s">
        <v>12</v>
      </c>
      <c r="E6680" s="5" t="s">
        <v>3962</v>
      </c>
    </row>
    <row r="6681" spans="1:5" x14ac:dyDescent="0.25">
      <c r="A6681" s="5">
        <f>6673</f>
      </c>
      <c r="B6681" s="5" t="s">
        <v>5923</v>
      </c>
      <c r="C6681" s="5" t="s">
        <v>11</v>
      </c>
      <c r="D6681" s="5" t="s">
        <v>12</v>
      </c>
      <c r="E6681" s="5" t="s">
        <v>3962</v>
      </c>
    </row>
    <row r="6682" spans="1:5" x14ac:dyDescent="0.25">
      <c r="A6682" s="5">
        <f>6674</f>
      </c>
      <c r="B6682" s="5" t="s">
        <v>5924</v>
      </c>
      <c r="C6682" s="5" t="s">
        <v>11</v>
      </c>
      <c r="D6682" s="5" t="s">
        <v>12</v>
      </c>
      <c r="E6682" s="5" t="s">
        <v>3962</v>
      </c>
    </row>
    <row r="6683" spans="1:5" x14ac:dyDescent="0.25">
      <c r="A6683" s="5">
        <f>6675</f>
      </c>
      <c r="B6683" s="5" t="s">
        <v>5925</v>
      </c>
      <c r="C6683" s="5" t="s">
        <v>11</v>
      </c>
      <c r="D6683" s="5" t="s">
        <v>12</v>
      </c>
      <c r="E6683" s="5" t="s">
        <v>3962</v>
      </c>
    </row>
    <row r="6684" spans="1:5" x14ac:dyDescent="0.25">
      <c r="A6684" s="5">
        <f>6676</f>
      </c>
      <c r="B6684" s="5" t="s">
        <v>5926</v>
      </c>
      <c r="C6684" s="5" t="s">
        <v>11</v>
      </c>
      <c r="D6684" s="5" t="s">
        <v>12</v>
      </c>
      <c r="E6684" s="5" t="s">
        <v>3962</v>
      </c>
    </row>
    <row r="6685" spans="1:5" x14ac:dyDescent="0.25">
      <c r="A6685" s="5">
        <f>6677</f>
      </c>
      <c r="B6685" s="5" t="s">
        <v>5927</v>
      </c>
      <c r="C6685" s="5" t="s">
        <v>11</v>
      </c>
      <c r="D6685" s="5" t="s">
        <v>12</v>
      </c>
      <c r="E6685" s="5" t="s">
        <v>3962</v>
      </c>
    </row>
    <row r="6686" spans="1:5" x14ac:dyDescent="0.25">
      <c r="A6686" s="5">
        <f>6678</f>
      </c>
      <c r="B6686" s="5" t="s">
        <v>5928</v>
      </c>
      <c r="C6686" s="5" t="s">
        <v>11</v>
      </c>
      <c r="D6686" s="5" t="s">
        <v>12</v>
      </c>
      <c r="E6686" s="5" t="s">
        <v>3962</v>
      </c>
    </row>
    <row r="6687" spans="1:5" x14ac:dyDescent="0.25">
      <c r="A6687" s="5">
        <f>6679</f>
      </c>
      <c r="B6687" s="5" t="s">
        <v>5929</v>
      </c>
      <c r="C6687" s="5" t="s">
        <v>11</v>
      </c>
      <c r="D6687" s="5" t="s">
        <v>12</v>
      </c>
      <c r="E6687" s="5" t="s">
        <v>3962</v>
      </c>
    </row>
    <row r="6688" spans="1:5" x14ac:dyDescent="0.25">
      <c r="A6688" s="5">
        <f>6680</f>
      </c>
      <c r="B6688" s="5" t="s">
        <v>5930</v>
      </c>
      <c r="C6688" s="5" t="s">
        <v>11</v>
      </c>
      <c r="D6688" s="5" t="s">
        <v>12</v>
      </c>
      <c r="E6688" s="5" t="s">
        <v>3962</v>
      </c>
    </row>
    <row r="6689" spans="1:5" x14ac:dyDescent="0.25">
      <c r="A6689" s="5">
        <f>6681</f>
      </c>
      <c r="B6689" s="5" t="s">
        <v>5931</v>
      </c>
      <c r="C6689" s="5" t="s">
        <v>11</v>
      </c>
      <c r="D6689" s="5" t="s">
        <v>12</v>
      </c>
      <c r="E6689" s="5" t="s">
        <v>3962</v>
      </c>
    </row>
    <row r="6690" spans="1:5" x14ac:dyDescent="0.25">
      <c r="A6690" s="5">
        <f>6682</f>
      </c>
      <c r="B6690" s="5" t="s">
        <v>5932</v>
      </c>
      <c r="C6690" s="5" t="s">
        <v>11</v>
      </c>
      <c r="D6690" s="5" t="s">
        <v>12</v>
      </c>
      <c r="E6690" s="5" t="s">
        <v>3962</v>
      </c>
    </row>
    <row r="6691" spans="1:5" x14ac:dyDescent="0.25">
      <c r="A6691" s="5">
        <f>6683</f>
      </c>
      <c r="B6691" s="5" t="s">
        <v>5933</v>
      </c>
      <c r="C6691" s="5" t="s">
        <v>11</v>
      </c>
      <c r="D6691" s="5" t="s">
        <v>12</v>
      </c>
      <c r="E6691" s="5" t="s">
        <v>3962</v>
      </c>
    </row>
    <row r="6692" spans="1:5" x14ac:dyDescent="0.25">
      <c r="A6692" s="5">
        <f>6684</f>
      </c>
      <c r="B6692" s="5" t="s">
        <v>5934</v>
      </c>
      <c r="C6692" s="5" t="s">
        <v>11</v>
      </c>
      <c r="D6692" s="5" t="s">
        <v>12</v>
      </c>
      <c r="E6692" s="5" t="s">
        <v>3962</v>
      </c>
    </row>
    <row r="6693" spans="1:5" x14ac:dyDescent="0.25">
      <c r="A6693" s="5">
        <f>6685</f>
      </c>
      <c r="B6693" s="5" t="s">
        <v>5935</v>
      </c>
      <c r="C6693" s="5" t="s">
        <v>11</v>
      </c>
      <c r="D6693" s="5" t="s">
        <v>12</v>
      </c>
      <c r="E6693" s="5" t="s">
        <v>3962</v>
      </c>
    </row>
    <row r="6694" spans="1:5" x14ac:dyDescent="0.25">
      <c r="A6694" s="5">
        <f>6686</f>
      </c>
      <c r="B6694" s="5" t="s">
        <v>5936</v>
      </c>
      <c r="C6694" s="5" t="s">
        <v>11</v>
      </c>
      <c r="D6694" s="5" t="s">
        <v>12</v>
      </c>
      <c r="E6694" s="5" t="s">
        <v>3962</v>
      </c>
    </row>
    <row r="6695" spans="1:5" x14ac:dyDescent="0.25">
      <c r="A6695" s="5">
        <f>6687</f>
      </c>
      <c r="B6695" s="5" t="s">
        <v>5937</v>
      </c>
      <c r="C6695" s="5" t="s">
        <v>11</v>
      </c>
      <c r="D6695" s="5" t="s">
        <v>12</v>
      </c>
      <c r="E6695" s="5" t="s">
        <v>3962</v>
      </c>
    </row>
    <row r="6696" spans="1:5" x14ac:dyDescent="0.25">
      <c r="A6696" s="5">
        <f>6688</f>
      </c>
      <c r="B6696" s="5" t="s">
        <v>5938</v>
      </c>
      <c r="C6696" s="5" t="s">
        <v>11</v>
      </c>
      <c r="D6696" s="5" t="s">
        <v>12</v>
      </c>
      <c r="E6696" s="5" t="s">
        <v>3962</v>
      </c>
    </row>
    <row r="6697" spans="1:5" x14ac:dyDescent="0.25">
      <c r="A6697" s="5">
        <f>6689</f>
      </c>
      <c r="B6697" s="5" t="s">
        <v>5939</v>
      </c>
      <c r="C6697" s="5" t="s">
        <v>11</v>
      </c>
      <c r="D6697" s="5" t="s">
        <v>12</v>
      </c>
      <c r="E6697" s="5" t="s">
        <v>3962</v>
      </c>
    </row>
    <row r="6698" spans="1:5" x14ac:dyDescent="0.25">
      <c r="A6698" s="5">
        <f>6690</f>
      </c>
      <c r="B6698" s="5" t="s">
        <v>5940</v>
      </c>
      <c r="C6698" s="5" t="s">
        <v>11</v>
      </c>
      <c r="D6698" s="5" t="s">
        <v>12</v>
      </c>
      <c r="E6698" s="5" t="s">
        <v>3962</v>
      </c>
    </row>
    <row r="6699" spans="1:5" x14ac:dyDescent="0.25">
      <c r="A6699" s="5">
        <f>6691</f>
      </c>
      <c r="B6699" s="5" t="s">
        <v>5941</v>
      </c>
      <c r="C6699" s="5" t="s">
        <v>11</v>
      </c>
      <c r="D6699" s="5" t="s">
        <v>12</v>
      </c>
      <c r="E6699" s="5" t="s">
        <v>3962</v>
      </c>
    </row>
    <row r="6700" spans="1:5" x14ac:dyDescent="0.25">
      <c r="A6700" s="5">
        <f>6692</f>
      </c>
      <c r="B6700" s="5" t="s">
        <v>5942</v>
      </c>
      <c r="C6700" s="5" t="s">
        <v>11</v>
      </c>
      <c r="D6700" s="5" t="s">
        <v>12</v>
      </c>
      <c r="E6700" s="5" t="s">
        <v>3962</v>
      </c>
    </row>
    <row r="6701" spans="1:5" x14ac:dyDescent="0.25">
      <c r="A6701" s="5">
        <f>6693</f>
      </c>
      <c r="B6701" s="5" t="s">
        <v>5943</v>
      </c>
      <c r="C6701" s="5" t="s">
        <v>11</v>
      </c>
      <c r="D6701" s="5" t="s">
        <v>12</v>
      </c>
      <c r="E6701" s="5" t="s">
        <v>3962</v>
      </c>
    </row>
    <row r="6702" spans="1:5" x14ac:dyDescent="0.25">
      <c r="A6702" s="5">
        <f>6694</f>
      </c>
      <c r="B6702" s="5" t="s">
        <v>5944</v>
      </c>
      <c r="C6702" s="5" t="s">
        <v>11</v>
      </c>
      <c r="D6702" s="5" t="s">
        <v>12</v>
      </c>
      <c r="E6702" s="5" t="s">
        <v>3962</v>
      </c>
    </row>
    <row r="6703" spans="1:5" x14ac:dyDescent="0.25">
      <c r="A6703" s="5">
        <f>6695</f>
      </c>
      <c r="B6703" s="5" t="s">
        <v>5945</v>
      </c>
      <c r="C6703" s="5" t="s">
        <v>11</v>
      </c>
      <c r="D6703" s="5" t="s">
        <v>12</v>
      </c>
      <c r="E6703" s="5" t="s">
        <v>3962</v>
      </c>
    </row>
    <row r="6704" spans="1:5" x14ac:dyDescent="0.25">
      <c r="A6704" s="5">
        <f>6696</f>
      </c>
      <c r="B6704" s="5" t="s">
        <v>5946</v>
      </c>
      <c r="C6704" s="5" t="s">
        <v>11</v>
      </c>
      <c r="D6704" s="5" t="s">
        <v>12</v>
      </c>
      <c r="E6704" s="5" t="s">
        <v>3962</v>
      </c>
    </row>
    <row r="6705" spans="1:5" x14ac:dyDescent="0.25">
      <c r="A6705" s="5">
        <f>6697</f>
      </c>
      <c r="B6705" s="5" t="s">
        <v>5947</v>
      </c>
      <c r="C6705" s="5" t="s">
        <v>11</v>
      </c>
      <c r="D6705" s="5" t="s">
        <v>12</v>
      </c>
      <c r="E6705" s="5" t="s">
        <v>3962</v>
      </c>
    </row>
    <row r="6706" spans="1:5" x14ac:dyDescent="0.25">
      <c r="A6706" s="5">
        <f>6698</f>
      </c>
      <c r="B6706" s="5" t="s">
        <v>5948</v>
      </c>
      <c r="C6706" s="5" t="s">
        <v>11</v>
      </c>
      <c r="D6706" s="5" t="s">
        <v>12</v>
      </c>
      <c r="E6706" s="5" t="s">
        <v>3962</v>
      </c>
    </row>
    <row r="6707" spans="1:5" x14ac:dyDescent="0.25">
      <c r="A6707" s="5">
        <f>6699</f>
      </c>
      <c r="B6707" s="5" t="s">
        <v>5949</v>
      </c>
      <c r="C6707" s="5" t="s">
        <v>11</v>
      </c>
      <c r="D6707" s="5" t="s">
        <v>12</v>
      </c>
      <c r="E6707" s="5" t="s">
        <v>3962</v>
      </c>
    </row>
    <row r="6708" spans="1:5" x14ac:dyDescent="0.25">
      <c r="A6708" s="5">
        <f>6700</f>
      </c>
      <c r="B6708" s="5" t="s">
        <v>5950</v>
      </c>
      <c r="C6708" s="5" t="s">
        <v>11</v>
      </c>
      <c r="D6708" s="5" t="s">
        <v>12</v>
      </c>
      <c r="E6708" s="5" t="s">
        <v>3962</v>
      </c>
    </row>
    <row r="6709" spans="1:5" x14ac:dyDescent="0.25">
      <c r="A6709" s="5">
        <f>6701</f>
      </c>
      <c r="B6709" s="5" t="s">
        <v>5951</v>
      </c>
      <c r="C6709" s="5" t="s">
        <v>11</v>
      </c>
      <c r="D6709" s="5" t="s">
        <v>12</v>
      </c>
      <c r="E6709" s="5" t="s">
        <v>3962</v>
      </c>
    </row>
    <row r="6710" spans="1:5" x14ac:dyDescent="0.25">
      <c r="A6710" s="5">
        <f>6702</f>
      </c>
      <c r="B6710" s="5" t="s">
        <v>5952</v>
      </c>
      <c r="C6710" s="5" t="s">
        <v>11</v>
      </c>
      <c r="D6710" s="5" t="s">
        <v>12</v>
      </c>
      <c r="E6710" s="5" t="s">
        <v>3962</v>
      </c>
    </row>
    <row r="6711" spans="1:5" x14ac:dyDescent="0.25">
      <c r="A6711" s="5">
        <f>6703</f>
      </c>
      <c r="B6711" s="5" t="s">
        <v>5953</v>
      </c>
      <c r="C6711" s="5" t="s">
        <v>11</v>
      </c>
      <c r="D6711" s="5" t="s">
        <v>12</v>
      </c>
      <c r="E6711" s="5" t="s">
        <v>3962</v>
      </c>
    </row>
    <row r="6712" spans="1:5" x14ac:dyDescent="0.25">
      <c r="A6712" s="5">
        <f>6704</f>
      </c>
      <c r="B6712" s="5" t="s">
        <v>5954</v>
      </c>
      <c r="C6712" s="5" t="s">
        <v>11</v>
      </c>
      <c r="D6712" s="5" t="s">
        <v>12</v>
      </c>
      <c r="E6712" s="5" t="s">
        <v>3962</v>
      </c>
    </row>
    <row r="6713" spans="1:5" x14ac:dyDescent="0.25">
      <c r="A6713" s="5">
        <f>6705</f>
      </c>
      <c r="B6713" s="5" t="s">
        <v>5955</v>
      </c>
      <c r="C6713" s="5" t="s">
        <v>11</v>
      </c>
      <c r="D6713" s="5" t="s">
        <v>12</v>
      </c>
      <c r="E6713" s="5" t="s">
        <v>3962</v>
      </c>
    </row>
    <row r="6714" spans="1:5" x14ac:dyDescent="0.25">
      <c r="A6714" s="5">
        <f>6706</f>
      </c>
      <c r="B6714" s="5" t="s">
        <v>5956</v>
      </c>
      <c r="C6714" s="5" t="s">
        <v>11</v>
      </c>
      <c r="D6714" s="5" t="s">
        <v>12</v>
      </c>
      <c r="E6714" s="5" t="s">
        <v>3962</v>
      </c>
    </row>
    <row r="6715" spans="1:5" x14ac:dyDescent="0.25">
      <c r="A6715" s="5">
        <f>6707</f>
      </c>
      <c r="B6715" s="5" t="s">
        <v>5957</v>
      </c>
      <c r="C6715" s="5" t="s">
        <v>11</v>
      </c>
      <c r="D6715" s="5" t="s">
        <v>12</v>
      </c>
      <c r="E6715" s="5" t="s">
        <v>3962</v>
      </c>
    </row>
    <row r="6716" spans="1:5" x14ac:dyDescent="0.25">
      <c r="A6716" s="5">
        <f>6708</f>
      </c>
      <c r="B6716" s="5" t="s">
        <v>5958</v>
      </c>
      <c r="C6716" s="5" t="s">
        <v>11</v>
      </c>
      <c r="D6716" s="5" t="s">
        <v>12</v>
      </c>
      <c r="E6716" s="5" t="s">
        <v>3962</v>
      </c>
    </row>
    <row r="6717" spans="1:5" x14ac:dyDescent="0.25">
      <c r="A6717" s="5">
        <f>6709</f>
      </c>
      <c r="B6717" s="5" t="s">
        <v>5959</v>
      </c>
      <c r="C6717" s="5" t="s">
        <v>11</v>
      </c>
      <c r="D6717" s="5" t="s">
        <v>12</v>
      </c>
      <c r="E6717" s="5" t="s">
        <v>3962</v>
      </c>
    </row>
    <row r="6718" spans="1:5" x14ac:dyDescent="0.25">
      <c r="A6718" s="5">
        <f>6710</f>
      </c>
      <c r="B6718" s="5" t="s">
        <v>5960</v>
      </c>
      <c r="C6718" s="5" t="s">
        <v>11</v>
      </c>
      <c r="D6718" s="5" t="s">
        <v>12</v>
      </c>
      <c r="E6718" s="5" t="s">
        <v>3962</v>
      </c>
    </row>
    <row r="6719" spans="1:5" x14ac:dyDescent="0.25">
      <c r="A6719" s="5">
        <f>6711</f>
      </c>
      <c r="B6719" s="5" t="s">
        <v>5961</v>
      </c>
      <c r="C6719" s="5" t="s">
        <v>11</v>
      </c>
      <c r="D6719" s="5" t="s">
        <v>12</v>
      </c>
      <c r="E6719" s="5" t="s">
        <v>3962</v>
      </c>
    </row>
    <row r="6720" spans="1:5" x14ac:dyDescent="0.25">
      <c r="A6720" s="5">
        <f>6712</f>
      </c>
      <c r="B6720" s="5" t="s">
        <v>5962</v>
      </c>
      <c r="C6720" s="5" t="s">
        <v>11</v>
      </c>
      <c r="D6720" s="5" t="s">
        <v>12</v>
      </c>
      <c r="E6720" s="5" t="s">
        <v>3962</v>
      </c>
    </row>
    <row r="6721" spans="1:5" x14ac:dyDescent="0.25">
      <c r="A6721" s="5">
        <f>6713</f>
      </c>
      <c r="B6721" s="5" t="s">
        <v>5963</v>
      </c>
      <c r="C6721" s="5" t="s">
        <v>11</v>
      </c>
      <c r="D6721" s="5" t="s">
        <v>12</v>
      </c>
      <c r="E6721" s="5" t="s">
        <v>3962</v>
      </c>
    </row>
    <row r="6722" spans="1:5" x14ac:dyDescent="0.25">
      <c r="A6722" s="5">
        <f>6714</f>
      </c>
      <c r="B6722" s="5" t="s">
        <v>5964</v>
      </c>
      <c r="C6722" s="5" t="s">
        <v>11</v>
      </c>
      <c r="D6722" s="5" t="s">
        <v>12</v>
      </c>
      <c r="E6722" s="5" t="s">
        <v>3962</v>
      </c>
    </row>
    <row r="6723" spans="1:5" x14ac:dyDescent="0.25">
      <c r="A6723" s="5">
        <f>6715</f>
      </c>
      <c r="B6723" s="5" t="s">
        <v>5965</v>
      </c>
      <c r="C6723" s="5" t="s">
        <v>11</v>
      </c>
      <c r="D6723" s="5" t="s">
        <v>12</v>
      </c>
      <c r="E6723" s="5" t="s">
        <v>3962</v>
      </c>
    </row>
    <row r="6724" spans="1:5" x14ac:dyDescent="0.25">
      <c r="A6724" s="5">
        <f>6716</f>
      </c>
      <c r="B6724" s="5" t="s">
        <v>5966</v>
      </c>
      <c r="C6724" s="5" t="s">
        <v>11</v>
      </c>
      <c r="D6724" s="5" t="s">
        <v>12</v>
      </c>
      <c r="E6724" s="5" t="s">
        <v>3962</v>
      </c>
    </row>
    <row r="6725" spans="1:5" x14ac:dyDescent="0.25">
      <c r="A6725" s="5">
        <f>6717</f>
      </c>
      <c r="B6725" s="5" t="s">
        <v>5967</v>
      </c>
      <c r="C6725" s="5" t="s">
        <v>11</v>
      </c>
      <c r="D6725" s="5" t="s">
        <v>12</v>
      </c>
      <c r="E6725" s="5" t="s">
        <v>3962</v>
      </c>
    </row>
    <row r="6726" spans="1:5" x14ac:dyDescent="0.25">
      <c r="A6726" s="5">
        <f>6718</f>
      </c>
      <c r="B6726" s="5" t="s">
        <v>5968</v>
      </c>
      <c r="C6726" s="5" t="s">
        <v>11</v>
      </c>
      <c r="D6726" s="5" t="s">
        <v>12</v>
      </c>
      <c r="E6726" s="5" t="s">
        <v>3962</v>
      </c>
    </row>
    <row r="6727" spans="1:5" x14ac:dyDescent="0.25">
      <c r="A6727" s="5">
        <f>6719</f>
      </c>
      <c r="B6727" s="5" t="s">
        <v>5969</v>
      </c>
      <c r="C6727" s="5" t="s">
        <v>11</v>
      </c>
      <c r="D6727" s="5" t="s">
        <v>12</v>
      </c>
      <c r="E6727" s="5" t="s">
        <v>3962</v>
      </c>
    </row>
    <row r="6728" spans="1:5" x14ac:dyDescent="0.25">
      <c r="A6728" s="5">
        <f>6720</f>
      </c>
      <c r="B6728" s="5" t="s">
        <v>5970</v>
      </c>
      <c r="C6728" s="5" t="s">
        <v>11</v>
      </c>
      <c r="D6728" s="5" t="s">
        <v>12</v>
      </c>
      <c r="E6728" s="5" t="s">
        <v>3962</v>
      </c>
    </row>
    <row r="6729" spans="1:5" x14ac:dyDescent="0.25">
      <c r="A6729" s="5">
        <f>6721</f>
      </c>
      <c r="B6729" s="5" t="s">
        <v>5971</v>
      </c>
      <c r="C6729" s="5" t="s">
        <v>11</v>
      </c>
      <c r="D6729" s="5" t="s">
        <v>12</v>
      </c>
      <c r="E6729" s="5" t="s">
        <v>3962</v>
      </c>
    </row>
    <row r="6730" spans="1:5" x14ac:dyDescent="0.25">
      <c r="A6730" s="5">
        <f>6722</f>
      </c>
      <c r="B6730" s="5" t="s">
        <v>5972</v>
      </c>
      <c r="C6730" s="5" t="s">
        <v>11</v>
      </c>
      <c r="D6730" s="5" t="s">
        <v>12</v>
      </c>
      <c r="E6730" s="5" t="s">
        <v>3962</v>
      </c>
    </row>
    <row r="6731" spans="1:5" x14ac:dyDescent="0.25">
      <c r="A6731" s="5">
        <f>6723</f>
      </c>
      <c r="B6731" s="5" t="s">
        <v>5973</v>
      </c>
      <c r="C6731" s="5" t="s">
        <v>11</v>
      </c>
      <c r="D6731" s="5" t="s">
        <v>12</v>
      </c>
      <c r="E6731" s="5" t="s">
        <v>3962</v>
      </c>
    </row>
    <row r="6732" spans="1:5" x14ac:dyDescent="0.25">
      <c r="A6732" s="5">
        <f>6724</f>
      </c>
      <c r="B6732" s="5" t="s">
        <v>5974</v>
      </c>
      <c r="C6732" s="5" t="s">
        <v>11</v>
      </c>
      <c r="D6732" s="5" t="s">
        <v>12</v>
      </c>
      <c r="E6732" s="5" t="s">
        <v>3962</v>
      </c>
    </row>
    <row r="6733" spans="1:5" x14ac:dyDescent="0.25">
      <c r="A6733" s="5">
        <f>6725</f>
      </c>
      <c r="B6733" s="5" t="s">
        <v>5975</v>
      </c>
      <c r="C6733" s="5" t="s">
        <v>11</v>
      </c>
      <c r="D6733" s="5" t="s">
        <v>12</v>
      </c>
      <c r="E6733" s="5" t="s">
        <v>3962</v>
      </c>
    </row>
    <row r="6734" spans="1:5" x14ac:dyDescent="0.25">
      <c r="A6734" s="5">
        <f>6726</f>
      </c>
      <c r="B6734" s="5" t="s">
        <v>5976</v>
      </c>
      <c r="C6734" s="5" t="s">
        <v>11</v>
      </c>
      <c r="D6734" s="5" t="s">
        <v>12</v>
      </c>
      <c r="E6734" s="5" t="s">
        <v>3962</v>
      </c>
    </row>
    <row r="6735" spans="1:5" x14ac:dyDescent="0.25">
      <c r="A6735" s="5">
        <f>6727</f>
      </c>
      <c r="B6735" s="5" t="s">
        <v>5977</v>
      </c>
      <c r="C6735" s="5" t="s">
        <v>11</v>
      </c>
      <c r="D6735" s="5" t="s">
        <v>12</v>
      </c>
      <c r="E6735" s="5" t="s">
        <v>3962</v>
      </c>
    </row>
    <row r="6736" spans="1:5" x14ac:dyDescent="0.25">
      <c r="A6736" s="5">
        <f>6728</f>
      </c>
      <c r="B6736" s="5" t="s">
        <v>5978</v>
      </c>
      <c r="C6736" s="5" t="s">
        <v>11</v>
      </c>
      <c r="D6736" s="5" t="s">
        <v>12</v>
      </c>
      <c r="E6736" s="5" t="s">
        <v>3962</v>
      </c>
    </row>
    <row r="6737" spans="1:5" x14ac:dyDescent="0.25">
      <c r="A6737" s="5">
        <f>6729</f>
      </c>
      <c r="B6737" s="5" t="s">
        <v>5979</v>
      </c>
      <c r="C6737" s="5" t="s">
        <v>11</v>
      </c>
      <c r="D6737" s="5" t="s">
        <v>12</v>
      </c>
      <c r="E6737" s="5" t="s">
        <v>3962</v>
      </c>
    </row>
    <row r="6738" spans="1:5" x14ac:dyDescent="0.25">
      <c r="A6738" s="5">
        <f>6730</f>
      </c>
      <c r="B6738" s="5" t="s">
        <v>5980</v>
      </c>
      <c r="C6738" s="5" t="s">
        <v>11</v>
      </c>
      <c r="D6738" s="5" t="s">
        <v>12</v>
      </c>
      <c r="E6738" s="5" t="s">
        <v>3962</v>
      </c>
    </row>
    <row r="6739" spans="1:5" x14ac:dyDescent="0.25">
      <c r="A6739" s="5">
        <f>6731</f>
      </c>
      <c r="B6739" s="5" t="s">
        <v>5981</v>
      </c>
      <c r="C6739" s="5" t="s">
        <v>11</v>
      </c>
      <c r="D6739" s="5" t="s">
        <v>12</v>
      </c>
      <c r="E6739" s="5" t="s">
        <v>3962</v>
      </c>
    </row>
    <row r="6740" spans="1:5" x14ac:dyDescent="0.25">
      <c r="A6740" s="5">
        <f>6732</f>
      </c>
      <c r="B6740" s="5" t="s">
        <v>5982</v>
      </c>
      <c r="C6740" s="5" t="s">
        <v>11</v>
      </c>
      <c r="D6740" s="5" t="s">
        <v>12</v>
      </c>
      <c r="E6740" s="5" t="s">
        <v>3962</v>
      </c>
    </row>
    <row r="6741" spans="1:5" x14ac:dyDescent="0.25">
      <c r="A6741" s="5">
        <f>6733</f>
      </c>
      <c r="B6741" s="5" t="s">
        <v>5983</v>
      </c>
      <c r="C6741" s="5" t="s">
        <v>11</v>
      </c>
      <c r="D6741" s="5" t="s">
        <v>12</v>
      </c>
      <c r="E6741" s="5" t="s">
        <v>3962</v>
      </c>
    </row>
    <row r="6742" spans="1:5" x14ac:dyDescent="0.25">
      <c r="A6742" s="5">
        <f>6734</f>
      </c>
      <c r="B6742" s="5" t="s">
        <v>5984</v>
      </c>
      <c r="C6742" s="5" t="s">
        <v>11</v>
      </c>
      <c r="D6742" s="5" t="s">
        <v>12</v>
      </c>
      <c r="E6742" s="5" t="s">
        <v>3962</v>
      </c>
    </row>
    <row r="6743" spans="1:5" x14ac:dyDescent="0.25">
      <c r="A6743" s="5">
        <f>6735</f>
      </c>
      <c r="B6743" s="5" t="s">
        <v>5985</v>
      </c>
      <c r="C6743" s="5" t="s">
        <v>11</v>
      </c>
      <c r="D6743" s="5" t="s">
        <v>12</v>
      </c>
      <c r="E6743" s="5" t="s">
        <v>3962</v>
      </c>
    </row>
    <row r="6744" spans="1:5" x14ac:dyDescent="0.25">
      <c r="A6744" s="5">
        <f>6736</f>
      </c>
      <c r="B6744" s="5" t="s">
        <v>5986</v>
      </c>
      <c r="C6744" s="5" t="s">
        <v>11</v>
      </c>
      <c r="D6744" s="5" t="s">
        <v>12</v>
      </c>
      <c r="E6744" s="5" t="s">
        <v>3962</v>
      </c>
    </row>
    <row r="6745" spans="1:5" x14ac:dyDescent="0.25">
      <c r="A6745" s="5">
        <f>6737</f>
      </c>
      <c r="B6745" s="5" t="s">
        <v>5987</v>
      </c>
      <c r="C6745" s="5" t="s">
        <v>11</v>
      </c>
      <c r="D6745" s="5" t="s">
        <v>12</v>
      </c>
      <c r="E6745" s="5" t="s">
        <v>3962</v>
      </c>
    </row>
    <row r="6746" spans="1:5" x14ac:dyDescent="0.25">
      <c r="A6746" s="5">
        <f>6738</f>
      </c>
      <c r="B6746" s="5" t="s">
        <v>5988</v>
      </c>
      <c r="C6746" s="5" t="s">
        <v>11</v>
      </c>
      <c r="D6746" s="5" t="s">
        <v>12</v>
      </c>
      <c r="E6746" s="5" t="s">
        <v>3962</v>
      </c>
    </row>
    <row r="6747" spans="1:5" x14ac:dyDescent="0.25">
      <c r="A6747" s="5">
        <f>6739</f>
      </c>
      <c r="B6747" s="5" t="s">
        <v>5989</v>
      </c>
      <c r="C6747" s="5" t="s">
        <v>11</v>
      </c>
      <c r="D6747" s="5" t="s">
        <v>12</v>
      </c>
      <c r="E6747" s="5" t="s">
        <v>3962</v>
      </c>
    </row>
    <row r="6748" spans="1:5" x14ac:dyDescent="0.25">
      <c r="A6748" s="5">
        <f>6740</f>
      </c>
      <c r="B6748" s="5" t="s">
        <v>5990</v>
      </c>
      <c r="C6748" s="5" t="s">
        <v>11</v>
      </c>
      <c r="D6748" s="5" t="s">
        <v>12</v>
      </c>
      <c r="E6748" s="5" t="s">
        <v>3962</v>
      </c>
    </row>
    <row r="6749" spans="1:5" x14ac:dyDescent="0.25">
      <c r="A6749" s="5">
        <f>6741</f>
      </c>
      <c r="B6749" s="5" t="s">
        <v>5991</v>
      </c>
      <c r="C6749" s="5" t="s">
        <v>11</v>
      </c>
      <c r="D6749" s="5" t="s">
        <v>12</v>
      </c>
      <c r="E6749" s="5" t="s">
        <v>3962</v>
      </c>
    </row>
    <row r="6750" spans="1:5" x14ac:dyDescent="0.25">
      <c r="A6750" s="5">
        <f>6742</f>
      </c>
      <c r="B6750" s="5" t="s">
        <v>5992</v>
      </c>
      <c r="C6750" s="5" t="s">
        <v>11</v>
      </c>
      <c r="D6750" s="5" t="s">
        <v>12</v>
      </c>
      <c r="E6750" s="5" t="s">
        <v>3962</v>
      </c>
    </row>
    <row r="6751" spans="1:5" x14ac:dyDescent="0.25">
      <c r="A6751" s="5">
        <f>6743</f>
      </c>
      <c r="B6751" s="5" t="s">
        <v>5993</v>
      </c>
      <c r="C6751" s="5" t="s">
        <v>11</v>
      </c>
      <c r="D6751" s="5" t="s">
        <v>12</v>
      </c>
      <c r="E6751" s="5" t="s">
        <v>3962</v>
      </c>
    </row>
    <row r="6752" spans="1:5" x14ac:dyDescent="0.25">
      <c r="A6752" s="5">
        <f>6744</f>
      </c>
      <c r="B6752" s="5" t="s">
        <v>5994</v>
      </c>
      <c r="C6752" s="5" t="s">
        <v>11</v>
      </c>
      <c r="D6752" s="5" t="s">
        <v>12</v>
      </c>
      <c r="E6752" s="5" t="s">
        <v>3962</v>
      </c>
    </row>
    <row r="6753" spans="1:5" x14ac:dyDescent="0.25">
      <c r="A6753" s="5">
        <f>6745</f>
      </c>
      <c r="B6753" s="5" t="s">
        <v>5995</v>
      </c>
      <c r="C6753" s="5" t="s">
        <v>11</v>
      </c>
      <c r="D6753" s="5" t="s">
        <v>12</v>
      </c>
      <c r="E6753" s="5" t="s">
        <v>3962</v>
      </c>
    </row>
    <row r="6754" spans="1:5" x14ac:dyDescent="0.25">
      <c r="A6754" s="5">
        <f>6746</f>
      </c>
      <c r="B6754" s="5" t="s">
        <v>5996</v>
      </c>
      <c r="C6754" s="5" t="s">
        <v>11</v>
      </c>
      <c r="D6754" s="5" t="s">
        <v>12</v>
      </c>
      <c r="E6754" s="5" t="s">
        <v>3962</v>
      </c>
    </row>
    <row r="6755" spans="1:5" x14ac:dyDescent="0.25">
      <c r="A6755" s="5">
        <f>6747</f>
      </c>
      <c r="B6755" s="5" t="s">
        <v>5997</v>
      </c>
      <c r="C6755" s="5" t="s">
        <v>11</v>
      </c>
      <c r="D6755" s="5" t="s">
        <v>12</v>
      </c>
      <c r="E6755" s="5" t="s">
        <v>3962</v>
      </c>
    </row>
    <row r="6756" spans="1:5" x14ac:dyDescent="0.25">
      <c r="A6756" s="5">
        <f>6748</f>
      </c>
      <c r="B6756" s="5" t="s">
        <v>5998</v>
      </c>
      <c r="C6756" s="5" t="s">
        <v>11</v>
      </c>
      <c r="D6756" s="5" t="s">
        <v>12</v>
      </c>
      <c r="E6756" s="5" t="s">
        <v>3962</v>
      </c>
    </row>
    <row r="6757" spans="1:5" x14ac:dyDescent="0.25">
      <c r="A6757" s="5">
        <f>6749</f>
      </c>
      <c r="B6757" s="5" t="s">
        <v>5999</v>
      </c>
      <c r="C6757" s="5" t="s">
        <v>11</v>
      </c>
      <c r="D6757" s="5" t="s">
        <v>12</v>
      </c>
      <c r="E6757" s="5" t="s">
        <v>3962</v>
      </c>
    </row>
    <row r="6758" spans="1:5" x14ac:dyDescent="0.25">
      <c r="A6758" s="5">
        <f>6750</f>
      </c>
      <c r="B6758" s="5" t="s">
        <v>6000</v>
      </c>
      <c r="C6758" s="5" t="s">
        <v>11</v>
      </c>
      <c r="D6758" s="5" t="s">
        <v>12</v>
      </c>
      <c r="E6758" s="5" t="s">
        <v>3962</v>
      </c>
    </row>
    <row r="6759" spans="1:5" x14ac:dyDescent="0.25">
      <c r="A6759" s="5">
        <f>6751</f>
      </c>
      <c r="B6759" s="5" t="s">
        <v>6001</v>
      </c>
      <c r="C6759" s="5" t="s">
        <v>11</v>
      </c>
      <c r="D6759" s="5" t="s">
        <v>12</v>
      </c>
      <c r="E6759" s="5" t="s">
        <v>3962</v>
      </c>
    </row>
    <row r="6760" spans="1:5" x14ac:dyDescent="0.25">
      <c r="A6760" s="5">
        <f>6752</f>
      </c>
      <c r="B6760" s="5" t="s">
        <v>6002</v>
      </c>
      <c r="C6760" s="5" t="s">
        <v>11</v>
      </c>
      <c r="D6760" s="5" t="s">
        <v>12</v>
      </c>
      <c r="E6760" s="5" t="s">
        <v>3962</v>
      </c>
    </row>
    <row r="6761" spans="1:5" x14ac:dyDescent="0.25">
      <c r="A6761" s="5">
        <f>6753</f>
      </c>
      <c r="B6761" s="5" t="s">
        <v>6003</v>
      </c>
      <c r="C6761" s="5" t="s">
        <v>11</v>
      </c>
      <c r="D6761" s="5" t="s">
        <v>12</v>
      </c>
      <c r="E6761" s="5" t="s">
        <v>3962</v>
      </c>
    </row>
    <row r="6762" spans="1:5" x14ac:dyDescent="0.25">
      <c r="A6762" s="5">
        <f>6754</f>
      </c>
      <c r="B6762" s="5" t="s">
        <v>6004</v>
      </c>
      <c r="C6762" s="5" t="s">
        <v>11</v>
      </c>
      <c r="D6762" s="5" t="s">
        <v>12</v>
      </c>
      <c r="E6762" s="5" t="s">
        <v>3962</v>
      </c>
    </row>
    <row r="6763" spans="1:5" x14ac:dyDescent="0.25">
      <c r="A6763" s="5">
        <f>6755</f>
      </c>
      <c r="B6763" s="5" t="s">
        <v>6005</v>
      </c>
      <c r="C6763" s="5" t="s">
        <v>11</v>
      </c>
      <c r="D6763" s="5" t="s">
        <v>12</v>
      </c>
      <c r="E6763" s="5" t="s">
        <v>3962</v>
      </c>
    </row>
    <row r="6764" spans="1:5" x14ac:dyDescent="0.25">
      <c r="A6764" s="5">
        <f>6756</f>
      </c>
      <c r="B6764" s="5" t="s">
        <v>6006</v>
      </c>
      <c r="C6764" s="5" t="s">
        <v>11</v>
      </c>
      <c r="D6764" s="5" t="s">
        <v>12</v>
      </c>
      <c r="E6764" s="5" t="s">
        <v>3962</v>
      </c>
    </row>
    <row r="6765" spans="1:5" x14ac:dyDescent="0.25">
      <c r="A6765" s="5">
        <f>6757</f>
      </c>
      <c r="B6765" s="5" t="s">
        <v>6007</v>
      </c>
      <c r="C6765" s="5" t="s">
        <v>11</v>
      </c>
      <c r="D6765" s="5" t="s">
        <v>12</v>
      </c>
      <c r="E6765" s="5" t="s">
        <v>3962</v>
      </c>
    </row>
    <row r="6766" spans="1:5" x14ac:dyDescent="0.25">
      <c r="A6766" s="5">
        <f>6758</f>
      </c>
      <c r="B6766" s="5" t="s">
        <v>6008</v>
      </c>
      <c r="C6766" s="5" t="s">
        <v>11</v>
      </c>
      <c r="D6766" s="5" t="s">
        <v>12</v>
      </c>
      <c r="E6766" s="5" t="s">
        <v>3962</v>
      </c>
    </row>
    <row r="6767" spans="1:5" x14ac:dyDescent="0.25">
      <c r="A6767" s="5">
        <f>6759</f>
      </c>
      <c r="B6767" s="5" t="s">
        <v>6009</v>
      </c>
      <c r="C6767" s="5" t="s">
        <v>11</v>
      </c>
      <c r="D6767" s="5" t="s">
        <v>12</v>
      </c>
      <c r="E6767" s="5" t="s">
        <v>3962</v>
      </c>
    </row>
    <row r="6768" spans="1:5" x14ac:dyDescent="0.25">
      <c r="A6768" s="5">
        <f>6760</f>
      </c>
      <c r="B6768" s="5" t="s">
        <v>6010</v>
      </c>
      <c r="C6768" s="5" t="s">
        <v>11</v>
      </c>
      <c r="D6768" s="5" t="s">
        <v>12</v>
      </c>
      <c r="E6768" s="5" t="s">
        <v>3962</v>
      </c>
    </row>
    <row r="6769" spans="1:5" x14ac:dyDescent="0.25">
      <c r="A6769" s="5">
        <f>6761</f>
      </c>
      <c r="B6769" s="5" t="s">
        <v>6011</v>
      </c>
      <c r="C6769" s="5" t="s">
        <v>11</v>
      </c>
      <c r="D6769" s="5" t="s">
        <v>12</v>
      </c>
      <c r="E6769" s="5" t="s">
        <v>3962</v>
      </c>
    </row>
    <row r="6770" spans="1:5" x14ac:dyDescent="0.25">
      <c r="A6770" s="5">
        <f>6762</f>
      </c>
      <c r="B6770" s="5" t="s">
        <v>6012</v>
      </c>
      <c r="C6770" s="5" t="s">
        <v>11</v>
      </c>
      <c r="D6770" s="5" t="s">
        <v>12</v>
      </c>
      <c r="E6770" s="5" t="s">
        <v>3962</v>
      </c>
    </row>
    <row r="6771" spans="1:5" x14ac:dyDescent="0.25">
      <c r="A6771" s="5">
        <f>6763</f>
      </c>
      <c r="B6771" s="5" t="s">
        <v>6013</v>
      </c>
      <c r="C6771" s="5" t="s">
        <v>11</v>
      </c>
      <c r="D6771" s="5" t="s">
        <v>12</v>
      </c>
      <c r="E6771" s="5" t="s">
        <v>3962</v>
      </c>
    </row>
    <row r="6772" spans="1:5" x14ac:dyDescent="0.25">
      <c r="A6772" s="5">
        <f>6764</f>
      </c>
      <c r="B6772" s="5" t="s">
        <v>6014</v>
      </c>
      <c r="C6772" s="5" t="s">
        <v>11</v>
      </c>
      <c r="D6772" s="5" t="s">
        <v>12</v>
      </c>
      <c r="E6772" s="5" t="s">
        <v>3962</v>
      </c>
    </row>
    <row r="6773" spans="1:5" x14ac:dyDescent="0.25">
      <c r="A6773" s="5">
        <f>6765</f>
      </c>
      <c r="B6773" s="5" t="s">
        <v>6015</v>
      </c>
      <c r="C6773" s="5" t="s">
        <v>11</v>
      </c>
      <c r="D6773" s="5" t="s">
        <v>12</v>
      </c>
      <c r="E6773" s="5" t="s">
        <v>3962</v>
      </c>
    </row>
    <row r="6774" spans="1:5" x14ac:dyDescent="0.25">
      <c r="A6774" s="5">
        <f>6766</f>
      </c>
      <c r="B6774" s="5" t="s">
        <v>6016</v>
      </c>
      <c r="C6774" s="5" t="s">
        <v>11</v>
      </c>
      <c r="D6774" s="5" t="s">
        <v>12</v>
      </c>
      <c r="E6774" s="5" t="s">
        <v>3962</v>
      </c>
    </row>
    <row r="6775" spans="1:5" x14ac:dyDescent="0.25">
      <c r="A6775" s="5">
        <f>6767</f>
      </c>
      <c r="B6775" s="5" t="s">
        <v>6017</v>
      </c>
      <c r="C6775" s="5" t="s">
        <v>11</v>
      </c>
      <c r="D6775" s="5" t="s">
        <v>12</v>
      </c>
      <c r="E6775" s="5" t="s">
        <v>3962</v>
      </c>
    </row>
    <row r="6776" spans="1:5" x14ac:dyDescent="0.25">
      <c r="A6776" s="5">
        <f>6768</f>
      </c>
      <c r="B6776" s="5" t="s">
        <v>6018</v>
      </c>
      <c r="C6776" s="5" t="s">
        <v>11</v>
      </c>
      <c r="D6776" s="5" t="s">
        <v>12</v>
      </c>
      <c r="E6776" s="5" t="s">
        <v>3962</v>
      </c>
    </row>
    <row r="6777" spans="1:5" x14ac:dyDescent="0.25">
      <c r="A6777" s="5">
        <f>6769</f>
      </c>
      <c r="B6777" s="5" t="s">
        <v>6019</v>
      </c>
      <c r="C6777" s="5" t="s">
        <v>11</v>
      </c>
      <c r="D6777" s="5" t="s">
        <v>12</v>
      </c>
      <c r="E6777" s="5" t="s">
        <v>3962</v>
      </c>
    </row>
    <row r="6778" spans="1:5" x14ac:dyDescent="0.25">
      <c r="A6778" s="5">
        <f>6770</f>
      </c>
      <c r="B6778" s="5" t="s">
        <v>6020</v>
      </c>
      <c r="C6778" s="5" t="s">
        <v>11</v>
      </c>
      <c r="D6778" s="5" t="s">
        <v>12</v>
      </c>
      <c r="E6778" s="5" t="s">
        <v>3962</v>
      </c>
    </row>
    <row r="6779" spans="1:5" x14ac:dyDescent="0.25">
      <c r="A6779" s="5">
        <f>6771</f>
      </c>
      <c r="B6779" s="5" t="s">
        <v>6021</v>
      </c>
      <c r="C6779" s="5" t="s">
        <v>11</v>
      </c>
      <c r="D6779" s="5" t="s">
        <v>12</v>
      </c>
      <c r="E6779" s="5" t="s">
        <v>3962</v>
      </c>
    </row>
    <row r="6780" spans="1:5" x14ac:dyDescent="0.25">
      <c r="A6780" s="5">
        <f>6772</f>
      </c>
      <c r="B6780" s="5" t="s">
        <v>6022</v>
      </c>
      <c r="C6780" s="5" t="s">
        <v>11</v>
      </c>
      <c r="D6780" s="5" t="s">
        <v>12</v>
      </c>
      <c r="E6780" s="5" t="s">
        <v>3962</v>
      </c>
    </row>
    <row r="6781" spans="1:5" x14ac:dyDescent="0.25">
      <c r="A6781" s="5">
        <f>6773</f>
      </c>
      <c r="B6781" s="5" t="s">
        <v>6023</v>
      </c>
      <c r="C6781" s="5" t="s">
        <v>11</v>
      </c>
      <c r="D6781" s="5" t="s">
        <v>12</v>
      </c>
      <c r="E6781" s="5" t="s">
        <v>3962</v>
      </c>
    </row>
    <row r="6782" spans="1:5" x14ac:dyDescent="0.25">
      <c r="A6782" s="5">
        <f>6774</f>
      </c>
      <c r="B6782" s="5" t="s">
        <v>6024</v>
      </c>
      <c r="C6782" s="5" t="s">
        <v>11</v>
      </c>
      <c r="D6782" s="5" t="s">
        <v>12</v>
      </c>
      <c r="E6782" s="5" t="s">
        <v>3962</v>
      </c>
    </row>
    <row r="6783" spans="1:5" x14ac:dyDescent="0.25">
      <c r="A6783" s="5">
        <f>6775</f>
      </c>
      <c r="B6783" s="5" t="s">
        <v>6025</v>
      </c>
      <c r="C6783" s="5" t="s">
        <v>11</v>
      </c>
      <c r="D6783" s="5" t="s">
        <v>12</v>
      </c>
      <c r="E6783" s="5" t="s">
        <v>3962</v>
      </c>
    </row>
    <row r="6784" spans="1:5" x14ac:dyDescent="0.25">
      <c r="A6784" s="5">
        <f>6776</f>
      </c>
      <c r="B6784" s="5" t="s">
        <v>6026</v>
      </c>
      <c r="C6784" s="5" t="s">
        <v>11</v>
      </c>
      <c r="D6784" s="5" t="s">
        <v>12</v>
      </c>
      <c r="E6784" s="5" t="s">
        <v>3962</v>
      </c>
    </row>
    <row r="6785" spans="1:5" x14ac:dyDescent="0.25">
      <c r="A6785" s="5">
        <f>6777</f>
      </c>
      <c r="B6785" s="5" t="s">
        <v>6027</v>
      </c>
      <c r="C6785" s="5" t="s">
        <v>11</v>
      </c>
      <c r="D6785" s="5" t="s">
        <v>12</v>
      </c>
      <c r="E6785" s="5" t="s">
        <v>3962</v>
      </c>
    </row>
    <row r="6786" spans="1:5" x14ac:dyDescent="0.25">
      <c r="A6786" s="5">
        <f>6778</f>
      </c>
      <c r="B6786" s="5" t="s">
        <v>6028</v>
      </c>
      <c r="C6786" s="5" t="s">
        <v>11</v>
      </c>
      <c r="D6786" s="5" t="s">
        <v>12</v>
      </c>
      <c r="E6786" s="5" t="s">
        <v>3962</v>
      </c>
    </row>
    <row r="6787" spans="1:5" x14ac:dyDescent="0.25">
      <c r="A6787" s="5">
        <f>6779</f>
      </c>
      <c r="B6787" s="5" t="s">
        <v>6029</v>
      </c>
      <c r="C6787" s="5" t="s">
        <v>11</v>
      </c>
      <c r="D6787" s="5" t="s">
        <v>12</v>
      </c>
      <c r="E6787" s="5" t="s">
        <v>3962</v>
      </c>
    </row>
    <row r="6788" spans="1:5" x14ac:dyDescent="0.25">
      <c r="A6788" s="5">
        <f>6780</f>
      </c>
      <c r="B6788" s="5" t="s">
        <v>6030</v>
      </c>
      <c r="C6788" s="5" t="s">
        <v>11</v>
      </c>
      <c r="D6788" s="5" t="s">
        <v>12</v>
      </c>
      <c r="E6788" s="5" t="s">
        <v>3962</v>
      </c>
    </row>
    <row r="6789" spans="1:5" x14ac:dyDescent="0.25">
      <c r="A6789" s="5">
        <f>6781</f>
      </c>
      <c r="B6789" s="5" t="s">
        <v>6031</v>
      </c>
      <c r="C6789" s="5" t="s">
        <v>11</v>
      </c>
      <c r="D6789" s="5" t="s">
        <v>12</v>
      </c>
      <c r="E6789" s="5" t="s">
        <v>3962</v>
      </c>
    </row>
    <row r="6790" spans="1:5" x14ac:dyDescent="0.25">
      <c r="A6790" s="5">
        <f>6782</f>
      </c>
      <c r="B6790" s="5" t="s">
        <v>6032</v>
      </c>
      <c r="C6790" s="5" t="s">
        <v>11</v>
      </c>
      <c r="D6790" s="5" t="s">
        <v>12</v>
      </c>
      <c r="E6790" s="5" t="s">
        <v>3962</v>
      </c>
    </row>
    <row r="6791" spans="1:5" x14ac:dyDescent="0.25">
      <c r="A6791" s="5">
        <f>6783</f>
      </c>
      <c r="B6791" s="5" t="s">
        <v>6033</v>
      </c>
      <c r="C6791" s="5" t="s">
        <v>11</v>
      </c>
      <c r="D6791" s="5" t="s">
        <v>12</v>
      </c>
      <c r="E6791" s="5" t="s">
        <v>3962</v>
      </c>
    </row>
    <row r="6792" spans="1:5" x14ac:dyDescent="0.25">
      <c r="A6792" s="5">
        <f>6784</f>
      </c>
      <c r="B6792" s="5" t="s">
        <v>6034</v>
      </c>
      <c r="C6792" s="5" t="s">
        <v>11</v>
      </c>
      <c r="D6792" s="5" t="s">
        <v>12</v>
      </c>
      <c r="E6792" s="5" t="s">
        <v>3962</v>
      </c>
    </row>
    <row r="6793" spans="1:5" x14ac:dyDescent="0.25">
      <c r="A6793" s="5">
        <f>6785</f>
      </c>
      <c r="B6793" s="5" t="s">
        <v>6035</v>
      </c>
      <c r="C6793" s="5" t="s">
        <v>11</v>
      </c>
      <c r="D6793" s="5" t="s">
        <v>12</v>
      </c>
      <c r="E6793" s="5" t="s">
        <v>3962</v>
      </c>
    </row>
    <row r="6794" spans="1:5" x14ac:dyDescent="0.25">
      <c r="A6794" s="5">
        <f>6786</f>
      </c>
      <c r="B6794" s="5" t="s">
        <v>6036</v>
      </c>
      <c r="C6794" s="5" t="s">
        <v>11</v>
      </c>
      <c r="D6794" s="5" t="s">
        <v>12</v>
      </c>
      <c r="E6794" s="5" t="s">
        <v>3962</v>
      </c>
    </row>
    <row r="6795" spans="1:5" x14ac:dyDescent="0.25">
      <c r="A6795" s="5">
        <f>6787</f>
      </c>
      <c r="B6795" s="5" t="s">
        <v>6037</v>
      </c>
      <c r="C6795" s="5" t="s">
        <v>11</v>
      </c>
      <c r="D6795" s="5" t="s">
        <v>12</v>
      </c>
      <c r="E6795" s="5" t="s">
        <v>3962</v>
      </c>
    </row>
    <row r="6796" spans="1:5" x14ac:dyDescent="0.25">
      <c r="A6796" s="5">
        <f>6788</f>
      </c>
      <c r="B6796" s="5" t="s">
        <v>6038</v>
      </c>
      <c r="C6796" s="5" t="s">
        <v>11</v>
      </c>
      <c r="D6796" s="5" t="s">
        <v>12</v>
      </c>
      <c r="E6796" s="5" t="s">
        <v>3962</v>
      </c>
    </row>
    <row r="6797" spans="1:5" x14ac:dyDescent="0.25">
      <c r="A6797" s="5">
        <f>6789</f>
      </c>
      <c r="B6797" s="5" t="s">
        <v>6039</v>
      </c>
      <c r="C6797" s="5" t="s">
        <v>11</v>
      </c>
      <c r="D6797" s="5" t="s">
        <v>12</v>
      </c>
      <c r="E6797" s="5" t="s">
        <v>3962</v>
      </c>
    </row>
    <row r="6798" spans="1:5" x14ac:dyDescent="0.25">
      <c r="A6798" s="5">
        <f>6790</f>
      </c>
      <c r="B6798" s="5" t="s">
        <v>6040</v>
      </c>
      <c r="C6798" s="5" t="s">
        <v>11</v>
      </c>
      <c r="D6798" s="5" t="s">
        <v>12</v>
      </c>
      <c r="E6798" s="5" t="s">
        <v>3962</v>
      </c>
    </row>
    <row r="6799" spans="1:5" x14ac:dyDescent="0.25">
      <c r="A6799" s="5">
        <f>6791</f>
      </c>
      <c r="B6799" s="5" t="s">
        <v>6041</v>
      </c>
      <c r="C6799" s="5" t="s">
        <v>11</v>
      </c>
      <c r="D6799" s="5" t="s">
        <v>12</v>
      </c>
      <c r="E6799" s="5" t="s">
        <v>3962</v>
      </c>
    </row>
    <row r="6800" spans="1:5" x14ac:dyDescent="0.25">
      <c r="A6800" s="5">
        <f>6792</f>
      </c>
      <c r="B6800" s="5" t="s">
        <v>6042</v>
      </c>
      <c r="C6800" s="5" t="s">
        <v>11</v>
      </c>
      <c r="D6800" s="5" t="s">
        <v>12</v>
      </c>
      <c r="E6800" s="5" t="s">
        <v>3962</v>
      </c>
    </row>
    <row r="6801" spans="1:5" x14ac:dyDescent="0.25">
      <c r="A6801" s="5">
        <f>6793</f>
      </c>
      <c r="B6801" s="5" t="s">
        <v>6043</v>
      </c>
      <c r="C6801" s="5" t="s">
        <v>11</v>
      </c>
      <c r="D6801" s="5" t="s">
        <v>12</v>
      </c>
      <c r="E6801" s="5" t="s">
        <v>3962</v>
      </c>
    </row>
    <row r="6802" spans="1:5" x14ac:dyDescent="0.25">
      <c r="A6802" s="5">
        <f>6794</f>
      </c>
      <c r="B6802" s="5" t="s">
        <v>6044</v>
      </c>
      <c r="C6802" s="5" t="s">
        <v>11</v>
      </c>
      <c r="D6802" s="5" t="s">
        <v>12</v>
      </c>
      <c r="E6802" s="5" t="s">
        <v>3962</v>
      </c>
    </row>
    <row r="6803" spans="1:5" x14ac:dyDescent="0.25">
      <c r="A6803" s="5">
        <f>6795</f>
      </c>
      <c r="B6803" s="5" t="s">
        <v>6045</v>
      </c>
      <c r="C6803" s="5" t="s">
        <v>11</v>
      </c>
      <c r="D6803" s="5" t="s">
        <v>12</v>
      </c>
      <c r="E6803" s="5" t="s">
        <v>3962</v>
      </c>
    </row>
    <row r="6804" spans="1:5" x14ac:dyDescent="0.25">
      <c r="A6804" s="5">
        <f>6796</f>
      </c>
      <c r="B6804" s="5" t="s">
        <v>6046</v>
      </c>
      <c r="C6804" s="5" t="s">
        <v>11</v>
      </c>
      <c r="D6804" s="5" t="s">
        <v>12</v>
      </c>
      <c r="E6804" s="5" t="s">
        <v>3962</v>
      </c>
    </row>
    <row r="6805" spans="1:5" x14ac:dyDescent="0.25">
      <c r="A6805" s="5">
        <f>6797</f>
      </c>
      <c r="B6805" s="5" t="s">
        <v>6047</v>
      </c>
      <c r="C6805" s="5" t="s">
        <v>11</v>
      </c>
      <c r="D6805" s="5" t="s">
        <v>12</v>
      </c>
      <c r="E6805" s="5" t="s">
        <v>3962</v>
      </c>
    </row>
    <row r="6806" spans="1:5" x14ac:dyDescent="0.25">
      <c r="A6806" s="5">
        <f>6798</f>
      </c>
      <c r="B6806" s="5" t="s">
        <v>6048</v>
      </c>
      <c r="C6806" s="5" t="s">
        <v>11</v>
      </c>
      <c r="D6806" s="5" t="s">
        <v>12</v>
      </c>
      <c r="E6806" s="5" t="s">
        <v>3962</v>
      </c>
    </row>
    <row r="6807" spans="1:5" x14ac:dyDescent="0.25">
      <c r="A6807" s="5">
        <f>6799</f>
      </c>
      <c r="B6807" s="5" t="s">
        <v>6049</v>
      </c>
      <c r="C6807" s="5" t="s">
        <v>11</v>
      </c>
      <c r="D6807" s="5" t="s">
        <v>12</v>
      </c>
      <c r="E6807" s="5" t="s">
        <v>3962</v>
      </c>
    </row>
    <row r="6808" spans="1:5" x14ac:dyDescent="0.25">
      <c r="A6808" s="5">
        <f>6800</f>
      </c>
      <c r="B6808" s="5" t="s">
        <v>6050</v>
      </c>
      <c r="C6808" s="5" t="s">
        <v>11</v>
      </c>
      <c r="D6808" s="5" t="s">
        <v>12</v>
      </c>
      <c r="E6808" s="5" t="s">
        <v>3962</v>
      </c>
    </row>
    <row r="6809" spans="1:5" x14ac:dyDescent="0.25">
      <c r="A6809" s="5">
        <f>6801</f>
      </c>
      <c r="B6809" s="5" t="s">
        <v>6051</v>
      </c>
      <c r="C6809" s="5" t="s">
        <v>11</v>
      </c>
      <c r="D6809" s="5" t="s">
        <v>12</v>
      </c>
      <c r="E6809" s="5" t="s">
        <v>3962</v>
      </c>
    </row>
    <row r="6810" spans="1:5" x14ac:dyDescent="0.25">
      <c r="A6810" s="5">
        <f>6802</f>
      </c>
      <c r="B6810" s="5" t="s">
        <v>6052</v>
      </c>
      <c r="C6810" s="5" t="s">
        <v>11</v>
      </c>
      <c r="D6810" s="5" t="s">
        <v>12</v>
      </c>
      <c r="E6810" s="5" t="s">
        <v>3962</v>
      </c>
    </row>
    <row r="6811" spans="1:5" x14ac:dyDescent="0.25">
      <c r="A6811" s="5">
        <f>6803</f>
      </c>
      <c r="B6811" s="5" t="s">
        <v>6053</v>
      </c>
      <c r="C6811" s="5" t="s">
        <v>11</v>
      </c>
      <c r="D6811" s="5" t="s">
        <v>12</v>
      </c>
      <c r="E6811" s="5" t="s">
        <v>3962</v>
      </c>
    </row>
    <row r="6812" spans="1:5" x14ac:dyDescent="0.25">
      <c r="A6812" s="5">
        <f>6804</f>
      </c>
      <c r="B6812" s="5" t="s">
        <v>6054</v>
      </c>
      <c r="C6812" s="5" t="s">
        <v>11</v>
      </c>
      <c r="D6812" s="5" t="s">
        <v>12</v>
      </c>
      <c r="E6812" s="5" t="s">
        <v>3962</v>
      </c>
    </row>
    <row r="6813" spans="1:5" x14ac:dyDescent="0.25">
      <c r="A6813" s="5">
        <f>6805</f>
      </c>
      <c r="B6813" s="5" t="s">
        <v>6055</v>
      </c>
      <c r="C6813" s="5" t="s">
        <v>11</v>
      </c>
      <c r="D6813" s="5" t="s">
        <v>12</v>
      </c>
      <c r="E6813" s="5" t="s">
        <v>3962</v>
      </c>
    </row>
    <row r="6814" spans="1:5" x14ac:dyDescent="0.25">
      <c r="A6814" s="5">
        <f>6806</f>
      </c>
      <c r="B6814" s="5" t="s">
        <v>6056</v>
      </c>
      <c r="C6814" s="5" t="s">
        <v>11</v>
      </c>
      <c r="D6814" s="5" t="s">
        <v>12</v>
      </c>
      <c r="E6814" s="5" t="s">
        <v>3962</v>
      </c>
    </row>
    <row r="6815" spans="1:5" x14ac:dyDescent="0.25">
      <c r="A6815" s="5">
        <f>6807</f>
      </c>
      <c r="B6815" s="5" t="s">
        <v>6057</v>
      </c>
      <c r="C6815" s="5" t="s">
        <v>11</v>
      </c>
      <c r="D6815" s="5" t="s">
        <v>12</v>
      </c>
      <c r="E6815" s="5" t="s">
        <v>3962</v>
      </c>
    </row>
    <row r="6816" spans="1:5" x14ac:dyDescent="0.25">
      <c r="A6816" s="5">
        <f>6808</f>
      </c>
      <c r="B6816" s="5" t="s">
        <v>6058</v>
      </c>
      <c r="C6816" s="5" t="s">
        <v>11</v>
      </c>
      <c r="D6816" s="5" t="s">
        <v>12</v>
      </c>
      <c r="E6816" s="5" t="s">
        <v>3962</v>
      </c>
    </row>
    <row r="6817" spans="1:5" x14ac:dyDescent="0.25">
      <c r="A6817" s="5">
        <f>6809</f>
      </c>
      <c r="B6817" s="5" t="s">
        <v>6059</v>
      </c>
      <c r="C6817" s="5" t="s">
        <v>11</v>
      </c>
      <c r="D6817" s="5" t="s">
        <v>12</v>
      </c>
      <c r="E6817" s="5" t="s">
        <v>3962</v>
      </c>
    </row>
    <row r="6818" spans="1:5" x14ac:dyDescent="0.25">
      <c r="A6818" s="5">
        <f>6810</f>
      </c>
      <c r="B6818" s="5" t="s">
        <v>6060</v>
      </c>
      <c r="C6818" s="5" t="s">
        <v>11</v>
      </c>
      <c r="D6818" s="5" t="s">
        <v>12</v>
      </c>
      <c r="E6818" s="5" t="s">
        <v>3962</v>
      </c>
    </row>
    <row r="6819" spans="1:5" x14ac:dyDescent="0.25">
      <c r="A6819" s="5">
        <f>6811</f>
      </c>
      <c r="B6819" s="5" t="s">
        <v>6061</v>
      </c>
      <c r="C6819" s="5" t="s">
        <v>11</v>
      </c>
      <c r="D6819" s="5" t="s">
        <v>12</v>
      </c>
      <c r="E6819" s="5" t="s">
        <v>3962</v>
      </c>
    </row>
    <row r="6820" spans="1:5" x14ac:dyDescent="0.25">
      <c r="A6820" s="5">
        <f>6812</f>
      </c>
      <c r="B6820" s="5" t="s">
        <v>6062</v>
      </c>
      <c r="C6820" s="5" t="s">
        <v>11</v>
      </c>
      <c r="D6820" s="5" t="s">
        <v>12</v>
      </c>
      <c r="E6820" s="5" t="s">
        <v>3962</v>
      </c>
    </row>
    <row r="6821" spans="1:5" x14ac:dyDescent="0.25">
      <c r="A6821" s="5">
        <f>6813</f>
      </c>
      <c r="B6821" s="5" t="s">
        <v>6063</v>
      </c>
      <c r="C6821" s="5" t="s">
        <v>11</v>
      </c>
      <c r="D6821" s="5" t="s">
        <v>12</v>
      </c>
      <c r="E6821" s="5" t="s">
        <v>3962</v>
      </c>
    </row>
    <row r="6822" spans="1:5" x14ac:dyDescent="0.25">
      <c r="A6822" s="5">
        <f>6814</f>
      </c>
      <c r="B6822" s="5" t="s">
        <v>6064</v>
      </c>
      <c r="C6822" s="5" t="s">
        <v>11</v>
      </c>
      <c r="D6822" s="5" t="s">
        <v>12</v>
      </c>
      <c r="E6822" s="5" t="s">
        <v>3962</v>
      </c>
    </row>
    <row r="6823" spans="1:5" x14ac:dyDescent="0.25">
      <c r="A6823" s="5">
        <f>6815</f>
      </c>
      <c r="B6823" s="5" t="s">
        <v>6065</v>
      </c>
      <c r="C6823" s="5" t="s">
        <v>11</v>
      </c>
      <c r="D6823" s="5" t="s">
        <v>12</v>
      </c>
      <c r="E6823" s="5" t="s">
        <v>3962</v>
      </c>
    </row>
    <row r="6824" spans="1:5" x14ac:dyDescent="0.25">
      <c r="A6824" s="5">
        <f>6816</f>
      </c>
      <c r="B6824" s="5" t="s">
        <v>6066</v>
      </c>
      <c r="C6824" s="5" t="s">
        <v>11</v>
      </c>
      <c r="D6824" s="5" t="s">
        <v>12</v>
      </c>
      <c r="E6824" s="5" t="s">
        <v>3962</v>
      </c>
    </row>
    <row r="6825" spans="1:5" x14ac:dyDescent="0.25">
      <c r="A6825" s="5">
        <f>6817</f>
      </c>
      <c r="B6825" s="5" t="s">
        <v>6067</v>
      </c>
      <c r="C6825" s="5" t="s">
        <v>11</v>
      </c>
      <c r="D6825" s="5" t="s">
        <v>12</v>
      </c>
      <c r="E6825" s="5" t="s">
        <v>3962</v>
      </c>
    </row>
    <row r="6826" spans="1:5" x14ac:dyDescent="0.25">
      <c r="A6826" s="5">
        <f>6818</f>
      </c>
      <c r="B6826" s="5" t="s">
        <v>6068</v>
      </c>
      <c r="C6826" s="5" t="s">
        <v>11</v>
      </c>
      <c r="D6826" s="5" t="s">
        <v>12</v>
      </c>
      <c r="E6826" s="5" t="s">
        <v>3962</v>
      </c>
    </row>
    <row r="6827" spans="1:5" x14ac:dyDescent="0.25">
      <c r="A6827" s="5">
        <f>6819</f>
      </c>
      <c r="B6827" s="5" t="s">
        <v>6069</v>
      </c>
      <c r="C6827" s="5" t="s">
        <v>11</v>
      </c>
      <c r="D6827" s="5" t="s">
        <v>12</v>
      </c>
      <c r="E6827" s="5" t="s">
        <v>3962</v>
      </c>
    </row>
    <row r="6828" spans="1:5" x14ac:dyDescent="0.25">
      <c r="A6828" s="5">
        <f>6820</f>
      </c>
      <c r="B6828" s="5" t="s">
        <v>6070</v>
      </c>
      <c r="C6828" s="5" t="s">
        <v>11</v>
      </c>
      <c r="D6828" s="5" t="s">
        <v>12</v>
      </c>
      <c r="E6828" s="5" t="s">
        <v>3962</v>
      </c>
    </row>
    <row r="6829" spans="1:5" x14ac:dyDescent="0.25">
      <c r="A6829" s="5">
        <f>6821</f>
      </c>
      <c r="B6829" s="5" t="s">
        <v>6071</v>
      </c>
      <c r="C6829" s="5" t="s">
        <v>11</v>
      </c>
      <c r="D6829" s="5" t="s">
        <v>12</v>
      </c>
      <c r="E6829" s="5" t="s">
        <v>3962</v>
      </c>
    </row>
    <row r="6830" spans="1:5" x14ac:dyDescent="0.25">
      <c r="A6830" s="5">
        <f>6822</f>
      </c>
      <c r="B6830" s="5" t="s">
        <v>6072</v>
      </c>
      <c r="C6830" s="5" t="s">
        <v>11</v>
      </c>
      <c r="D6830" s="5" t="s">
        <v>12</v>
      </c>
      <c r="E6830" s="5" t="s">
        <v>3962</v>
      </c>
    </row>
    <row r="6831" spans="1:5" x14ac:dyDescent="0.25">
      <c r="A6831" s="5">
        <f>6823</f>
      </c>
      <c r="B6831" s="5" t="s">
        <v>6073</v>
      </c>
      <c r="C6831" s="5" t="s">
        <v>11</v>
      </c>
      <c r="D6831" s="5" t="s">
        <v>12</v>
      </c>
      <c r="E6831" s="5" t="s">
        <v>3962</v>
      </c>
    </row>
    <row r="6832" spans="1:5" x14ac:dyDescent="0.25">
      <c r="A6832" s="5">
        <f>6824</f>
      </c>
      <c r="B6832" s="5" t="s">
        <v>6074</v>
      </c>
      <c r="C6832" s="5" t="s">
        <v>11</v>
      </c>
      <c r="D6832" s="5" t="s">
        <v>12</v>
      </c>
      <c r="E6832" s="5" t="s">
        <v>3962</v>
      </c>
    </row>
    <row r="6833" spans="1:5" x14ac:dyDescent="0.25">
      <c r="A6833" s="5">
        <f>6825</f>
      </c>
      <c r="B6833" s="5" t="s">
        <v>6075</v>
      </c>
      <c r="C6833" s="5" t="s">
        <v>11</v>
      </c>
      <c r="D6833" s="5" t="s">
        <v>12</v>
      </c>
      <c r="E6833" s="5" t="s">
        <v>3962</v>
      </c>
    </row>
    <row r="6834" spans="1:5" x14ac:dyDescent="0.25">
      <c r="A6834" s="5">
        <f>6826</f>
      </c>
      <c r="B6834" s="5" t="s">
        <v>6076</v>
      </c>
      <c r="C6834" s="5" t="s">
        <v>11</v>
      </c>
      <c r="D6834" s="5" t="s">
        <v>12</v>
      </c>
      <c r="E6834" s="5" t="s">
        <v>3962</v>
      </c>
    </row>
    <row r="6835" spans="1:5" x14ac:dyDescent="0.25">
      <c r="A6835" s="5">
        <f>6827</f>
      </c>
      <c r="B6835" s="5" t="s">
        <v>6077</v>
      </c>
      <c r="C6835" s="5" t="s">
        <v>11</v>
      </c>
      <c r="D6835" s="5" t="s">
        <v>12</v>
      </c>
      <c r="E6835" s="5" t="s">
        <v>3962</v>
      </c>
    </row>
    <row r="6836" spans="1:5" x14ac:dyDescent="0.25">
      <c r="A6836" s="5">
        <f>6828</f>
      </c>
      <c r="B6836" s="5" t="s">
        <v>6078</v>
      </c>
      <c r="C6836" s="5" t="s">
        <v>11</v>
      </c>
      <c r="D6836" s="5" t="s">
        <v>12</v>
      </c>
      <c r="E6836" s="5" t="s">
        <v>3962</v>
      </c>
    </row>
    <row r="6837" spans="1:5" x14ac:dyDescent="0.25">
      <c r="A6837" s="5">
        <f>6829</f>
      </c>
      <c r="B6837" s="5" t="s">
        <v>6079</v>
      </c>
      <c r="C6837" s="5" t="s">
        <v>11</v>
      </c>
      <c r="D6837" s="5" t="s">
        <v>12</v>
      </c>
      <c r="E6837" s="5" t="s">
        <v>3962</v>
      </c>
    </row>
    <row r="6838" spans="1:5" x14ac:dyDescent="0.25">
      <c r="A6838" s="5">
        <f>6830</f>
      </c>
      <c r="B6838" s="5" t="s">
        <v>6080</v>
      </c>
      <c r="C6838" s="5" t="s">
        <v>11</v>
      </c>
      <c r="D6838" s="5" t="s">
        <v>12</v>
      </c>
      <c r="E6838" s="5" t="s">
        <v>3962</v>
      </c>
    </row>
    <row r="6839" spans="1:5" x14ac:dyDescent="0.25">
      <c r="A6839" s="5">
        <f>6831</f>
      </c>
      <c r="B6839" s="5" t="s">
        <v>6081</v>
      </c>
      <c r="C6839" s="5" t="s">
        <v>11</v>
      </c>
      <c r="D6839" s="5" t="s">
        <v>12</v>
      </c>
      <c r="E6839" s="5" t="s">
        <v>3962</v>
      </c>
    </row>
    <row r="6840" spans="1:5" x14ac:dyDescent="0.25">
      <c r="A6840" s="5">
        <f>6832</f>
      </c>
      <c r="B6840" s="5" t="s">
        <v>6082</v>
      </c>
      <c r="C6840" s="5" t="s">
        <v>11</v>
      </c>
      <c r="D6840" s="5" t="s">
        <v>12</v>
      </c>
      <c r="E6840" s="5" t="s">
        <v>3962</v>
      </c>
    </row>
    <row r="6841" spans="1:5" x14ac:dyDescent="0.25">
      <c r="A6841" s="5">
        <f>6833</f>
      </c>
      <c r="B6841" s="5" t="s">
        <v>6083</v>
      </c>
      <c r="C6841" s="5" t="s">
        <v>11</v>
      </c>
      <c r="D6841" s="5" t="s">
        <v>12</v>
      </c>
      <c r="E6841" s="5" t="s">
        <v>3962</v>
      </c>
    </row>
    <row r="6842" spans="1:5" x14ac:dyDescent="0.25">
      <c r="A6842" s="5">
        <f>6834</f>
      </c>
      <c r="B6842" s="5" t="s">
        <v>6084</v>
      </c>
      <c r="C6842" s="5" t="s">
        <v>11</v>
      </c>
      <c r="D6842" s="5" t="s">
        <v>12</v>
      </c>
      <c r="E6842" s="5" t="s">
        <v>3962</v>
      </c>
    </row>
    <row r="6843" spans="1:5" x14ac:dyDescent="0.25">
      <c r="A6843" s="5">
        <f>6835</f>
      </c>
      <c r="B6843" s="5" t="s">
        <v>6085</v>
      </c>
      <c r="C6843" s="5" t="s">
        <v>11</v>
      </c>
      <c r="D6843" s="5" t="s">
        <v>12</v>
      </c>
      <c r="E6843" s="5" t="s">
        <v>3962</v>
      </c>
    </row>
    <row r="6844" spans="1:5" x14ac:dyDescent="0.25">
      <c r="A6844" s="5">
        <f>6836</f>
      </c>
      <c r="B6844" s="5" t="s">
        <v>6086</v>
      </c>
      <c r="C6844" s="5" t="s">
        <v>11</v>
      </c>
      <c r="D6844" s="5" t="s">
        <v>12</v>
      </c>
      <c r="E6844" s="5" t="s">
        <v>3962</v>
      </c>
    </row>
    <row r="6845" spans="1:5" x14ac:dyDescent="0.25">
      <c r="A6845" s="5">
        <f>6837</f>
      </c>
      <c r="B6845" s="5" t="s">
        <v>6087</v>
      </c>
      <c r="C6845" s="5" t="s">
        <v>11</v>
      </c>
      <c r="D6845" s="5" t="s">
        <v>12</v>
      </c>
      <c r="E6845" s="5" t="s">
        <v>3962</v>
      </c>
    </row>
    <row r="6846" spans="1:5" x14ac:dyDescent="0.25">
      <c r="A6846" s="5">
        <f>6838</f>
      </c>
      <c r="B6846" s="5" t="s">
        <v>6088</v>
      </c>
      <c r="C6846" s="5" t="s">
        <v>11</v>
      </c>
      <c r="D6846" s="5" t="s">
        <v>12</v>
      </c>
      <c r="E6846" s="5" t="s">
        <v>3962</v>
      </c>
    </row>
    <row r="6847" spans="1:5" x14ac:dyDescent="0.25">
      <c r="A6847" s="5">
        <f>6839</f>
      </c>
      <c r="B6847" s="5" t="s">
        <v>6089</v>
      </c>
      <c r="C6847" s="5" t="s">
        <v>11</v>
      </c>
      <c r="D6847" s="5" t="s">
        <v>12</v>
      </c>
      <c r="E6847" s="5" t="s">
        <v>3962</v>
      </c>
    </row>
    <row r="6848" spans="1:5" x14ac:dyDescent="0.25">
      <c r="A6848" s="5">
        <f>6840</f>
      </c>
      <c r="B6848" s="5" t="s">
        <v>6090</v>
      </c>
      <c r="C6848" s="5" t="s">
        <v>11</v>
      </c>
      <c r="D6848" s="5" t="s">
        <v>12</v>
      </c>
      <c r="E6848" s="5" t="s">
        <v>3962</v>
      </c>
    </row>
    <row r="6849" spans="1:5" x14ac:dyDescent="0.25">
      <c r="A6849" s="5">
        <f>6841</f>
      </c>
      <c r="B6849" s="5" t="s">
        <v>6091</v>
      </c>
      <c r="C6849" s="5" t="s">
        <v>11</v>
      </c>
      <c r="D6849" s="5" t="s">
        <v>12</v>
      </c>
      <c r="E6849" s="5" t="s">
        <v>3962</v>
      </c>
    </row>
    <row r="6850" spans="1:5" x14ac:dyDescent="0.25">
      <c r="A6850" s="5">
        <f>6842</f>
      </c>
      <c r="B6850" s="5" t="s">
        <v>6092</v>
      </c>
      <c r="C6850" s="5" t="s">
        <v>11</v>
      </c>
      <c r="D6850" s="5" t="s">
        <v>12</v>
      </c>
      <c r="E6850" s="5" t="s">
        <v>3962</v>
      </c>
    </row>
    <row r="6851" spans="1:5" x14ac:dyDescent="0.25">
      <c r="A6851" s="5">
        <f>6843</f>
      </c>
      <c r="B6851" s="5" t="s">
        <v>6093</v>
      </c>
      <c r="C6851" s="5" t="s">
        <v>11</v>
      </c>
      <c r="D6851" s="5" t="s">
        <v>12</v>
      </c>
      <c r="E6851" s="5" t="s">
        <v>3962</v>
      </c>
    </row>
    <row r="6852" spans="1:5" x14ac:dyDescent="0.25">
      <c r="A6852" s="5">
        <f>6844</f>
      </c>
      <c r="B6852" s="5" t="s">
        <v>6094</v>
      </c>
      <c r="C6852" s="5" t="s">
        <v>11</v>
      </c>
      <c r="D6852" s="5" t="s">
        <v>12</v>
      </c>
      <c r="E6852" s="5" t="s">
        <v>3962</v>
      </c>
    </row>
    <row r="6853" spans="1:5" x14ac:dyDescent="0.25">
      <c r="A6853" s="5">
        <f>6845</f>
      </c>
      <c r="B6853" s="5" t="s">
        <v>6095</v>
      </c>
      <c r="C6853" s="5" t="s">
        <v>11</v>
      </c>
      <c r="D6853" s="5" t="s">
        <v>12</v>
      </c>
      <c r="E6853" s="5" t="s">
        <v>3962</v>
      </c>
    </row>
    <row r="6854" spans="1:5" x14ac:dyDescent="0.25">
      <c r="A6854" s="5">
        <f>6846</f>
      </c>
      <c r="B6854" s="5" t="s">
        <v>6096</v>
      </c>
      <c r="C6854" s="5" t="s">
        <v>11</v>
      </c>
      <c r="D6854" s="5" t="s">
        <v>12</v>
      </c>
      <c r="E6854" s="5" t="s">
        <v>3962</v>
      </c>
    </row>
    <row r="6855" spans="1:5" x14ac:dyDescent="0.25">
      <c r="A6855" s="5">
        <f>6847</f>
      </c>
      <c r="B6855" s="5" t="s">
        <v>6097</v>
      </c>
      <c r="C6855" s="5" t="s">
        <v>11</v>
      </c>
      <c r="D6855" s="5" t="s">
        <v>12</v>
      </c>
      <c r="E6855" s="5" t="s">
        <v>3962</v>
      </c>
    </row>
    <row r="6856" spans="1:5" x14ac:dyDescent="0.25">
      <c r="A6856" s="5">
        <f>6848</f>
      </c>
      <c r="B6856" s="5" t="s">
        <v>6098</v>
      </c>
      <c r="C6856" s="5" t="s">
        <v>11</v>
      </c>
      <c r="D6856" s="5" t="s">
        <v>12</v>
      </c>
      <c r="E6856" s="5" t="s">
        <v>3962</v>
      </c>
    </row>
    <row r="6857" spans="1:5" x14ac:dyDescent="0.25">
      <c r="A6857" s="5">
        <f>6849</f>
      </c>
      <c r="B6857" s="5" t="s">
        <v>6099</v>
      </c>
      <c r="C6857" s="5" t="s">
        <v>11</v>
      </c>
      <c r="D6857" s="5" t="s">
        <v>12</v>
      </c>
      <c r="E6857" s="5" t="s">
        <v>3962</v>
      </c>
    </row>
    <row r="6858" spans="1:5" x14ac:dyDescent="0.25">
      <c r="A6858" s="5">
        <f>6850</f>
      </c>
      <c r="B6858" s="5" t="s">
        <v>6100</v>
      </c>
      <c r="C6858" s="5" t="s">
        <v>11</v>
      </c>
      <c r="D6858" s="5" t="s">
        <v>12</v>
      </c>
      <c r="E6858" s="5" t="s">
        <v>3962</v>
      </c>
    </row>
    <row r="6859" spans="1:5" x14ac:dyDescent="0.25">
      <c r="A6859" s="5">
        <f>6851</f>
      </c>
      <c r="B6859" s="5" t="s">
        <v>6101</v>
      </c>
      <c r="C6859" s="5" t="s">
        <v>11</v>
      </c>
      <c r="D6859" s="5" t="s">
        <v>12</v>
      </c>
      <c r="E6859" s="5" t="s">
        <v>3962</v>
      </c>
    </row>
    <row r="6860" spans="1:5" x14ac:dyDescent="0.25">
      <c r="A6860" s="5">
        <f>6852</f>
      </c>
      <c r="B6860" s="5" t="s">
        <v>6102</v>
      </c>
      <c r="C6860" s="5" t="s">
        <v>11</v>
      </c>
      <c r="D6860" s="5" t="s">
        <v>12</v>
      </c>
      <c r="E6860" s="5" t="s">
        <v>3962</v>
      </c>
    </row>
    <row r="6861" spans="1:5" x14ac:dyDescent="0.25">
      <c r="A6861" s="5">
        <f>6853</f>
      </c>
      <c r="B6861" s="5" t="s">
        <v>6103</v>
      </c>
      <c r="C6861" s="5" t="s">
        <v>11</v>
      </c>
      <c r="D6861" s="5" t="s">
        <v>12</v>
      </c>
      <c r="E6861" s="5" t="s">
        <v>3962</v>
      </c>
    </row>
    <row r="6862" spans="1:5" x14ac:dyDescent="0.25">
      <c r="A6862" s="5">
        <f>6854</f>
      </c>
      <c r="B6862" s="5" t="s">
        <v>6104</v>
      </c>
      <c r="C6862" s="5" t="s">
        <v>11</v>
      </c>
      <c r="D6862" s="5" t="s">
        <v>12</v>
      </c>
      <c r="E6862" s="5" t="s">
        <v>3962</v>
      </c>
    </row>
    <row r="6863" spans="1:5" x14ac:dyDescent="0.25">
      <c r="A6863" s="5">
        <f>6855</f>
      </c>
      <c r="B6863" s="5" t="s">
        <v>6105</v>
      </c>
      <c r="C6863" s="5" t="s">
        <v>11</v>
      </c>
      <c r="D6863" s="5" t="s">
        <v>12</v>
      </c>
      <c r="E6863" s="5" t="s">
        <v>3962</v>
      </c>
    </row>
    <row r="6864" spans="1:5" x14ac:dyDescent="0.25">
      <c r="A6864" s="5">
        <f>6856</f>
      </c>
      <c r="B6864" s="5" t="s">
        <v>6106</v>
      </c>
      <c r="C6864" s="5" t="s">
        <v>11</v>
      </c>
      <c r="D6864" s="5" t="s">
        <v>12</v>
      </c>
      <c r="E6864" s="5" t="s">
        <v>3962</v>
      </c>
    </row>
    <row r="6865" spans="1:5" x14ac:dyDescent="0.25">
      <c r="A6865" s="5">
        <f>6857</f>
      </c>
      <c r="B6865" s="5" t="s">
        <v>6107</v>
      </c>
      <c r="C6865" s="5" t="s">
        <v>11</v>
      </c>
      <c r="D6865" s="5" t="s">
        <v>12</v>
      </c>
      <c r="E6865" s="5" t="s">
        <v>3962</v>
      </c>
    </row>
    <row r="6866" spans="1:5" x14ac:dyDescent="0.25">
      <c r="A6866" s="5">
        <f>6858</f>
      </c>
      <c r="B6866" s="5" t="s">
        <v>6108</v>
      </c>
      <c r="C6866" s="5" t="s">
        <v>11</v>
      </c>
      <c r="D6866" s="5" t="s">
        <v>12</v>
      </c>
      <c r="E6866" s="5" t="s">
        <v>3962</v>
      </c>
    </row>
    <row r="6867" spans="1:5" x14ac:dyDescent="0.25">
      <c r="A6867" s="5">
        <f>6859</f>
      </c>
      <c r="B6867" s="5" t="s">
        <v>6109</v>
      </c>
      <c r="C6867" s="5" t="s">
        <v>11</v>
      </c>
      <c r="D6867" s="5" t="s">
        <v>12</v>
      </c>
      <c r="E6867" s="5" t="s">
        <v>3962</v>
      </c>
    </row>
    <row r="6868" spans="1:5" x14ac:dyDescent="0.25">
      <c r="A6868" s="5">
        <f>6860</f>
      </c>
      <c r="B6868" s="5" t="s">
        <v>6110</v>
      </c>
      <c r="C6868" s="5" t="s">
        <v>11</v>
      </c>
      <c r="D6868" s="5" t="s">
        <v>12</v>
      </c>
      <c r="E6868" s="5" t="s">
        <v>3962</v>
      </c>
    </row>
    <row r="6869" spans="1:5" x14ac:dyDescent="0.25">
      <c r="A6869" s="5">
        <f>6861</f>
      </c>
      <c r="B6869" s="5" t="s">
        <v>6111</v>
      </c>
      <c r="C6869" s="5" t="s">
        <v>11</v>
      </c>
      <c r="D6869" s="5" t="s">
        <v>12</v>
      </c>
      <c r="E6869" s="5" t="s">
        <v>3962</v>
      </c>
    </row>
    <row r="6870" spans="1:5" x14ac:dyDescent="0.25">
      <c r="A6870" s="5">
        <f>6862</f>
      </c>
      <c r="B6870" s="5" t="s">
        <v>6112</v>
      </c>
      <c r="C6870" s="5" t="s">
        <v>11</v>
      </c>
      <c r="D6870" s="5" t="s">
        <v>12</v>
      </c>
      <c r="E6870" s="5" t="s">
        <v>3962</v>
      </c>
    </row>
    <row r="6871" spans="1:5" x14ac:dyDescent="0.25">
      <c r="A6871" s="5">
        <f>6863</f>
      </c>
      <c r="B6871" s="5" t="s">
        <v>6113</v>
      </c>
      <c r="C6871" s="5" t="s">
        <v>11</v>
      </c>
      <c r="D6871" s="5" t="s">
        <v>12</v>
      </c>
      <c r="E6871" s="5" t="s">
        <v>3962</v>
      </c>
    </row>
    <row r="6872" spans="1:5" x14ac:dyDescent="0.25">
      <c r="A6872" s="5">
        <f>6864</f>
      </c>
      <c r="B6872" s="5" t="s">
        <v>6114</v>
      </c>
      <c r="C6872" s="5" t="s">
        <v>11</v>
      </c>
      <c r="D6872" s="5" t="s">
        <v>12</v>
      </c>
      <c r="E6872" s="5" t="s">
        <v>3962</v>
      </c>
    </row>
    <row r="6873" spans="1:5" x14ac:dyDescent="0.25">
      <c r="A6873" s="5">
        <f>6865</f>
      </c>
      <c r="B6873" s="5" t="s">
        <v>6115</v>
      </c>
      <c r="C6873" s="5" t="s">
        <v>11</v>
      </c>
      <c r="D6873" s="5" t="s">
        <v>12</v>
      </c>
      <c r="E6873" s="5" t="s">
        <v>3962</v>
      </c>
    </row>
    <row r="6874" spans="1:5" x14ac:dyDescent="0.25">
      <c r="A6874" s="5">
        <f>6866</f>
      </c>
      <c r="B6874" s="5" t="s">
        <v>6116</v>
      </c>
      <c r="C6874" s="5" t="s">
        <v>11</v>
      </c>
      <c r="D6874" s="5" t="s">
        <v>12</v>
      </c>
      <c r="E6874" s="5" t="s">
        <v>3962</v>
      </c>
    </row>
    <row r="6875" spans="1:5" x14ac:dyDescent="0.25">
      <c r="A6875" s="5">
        <f>6867</f>
      </c>
      <c r="B6875" s="5" t="s">
        <v>6117</v>
      </c>
      <c r="C6875" s="5" t="s">
        <v>11</v>
      </c>
      <c r="D6875" s="5" t="s">
        <v>12</v>
      </c>
      <c r="E6875" s="5" t="s">
        <v>3962</v>
      </c>
    </row>
    <row r="6876" spans="1:5" x14ac:dyDescent="0.25">
      <c r="A6876" s="5">
        <f>6868</f>
      </c>
      <c r="B6876" s="5" t="s">
        <v>6118</v>
      </c>
      <c r="C6876" s="5" t="s">
        <v>11</v>
      </c>
      <c r="D6876" s="5" t="s">
        <v>12</v>
      </c>
      <c r="E6876" s="5" t="s">
        <v>3962</v>
      </c>
    </row>
    <row r="6877" spans="1:5" x14ac:dyDescent="0.25">
      <c r="A6877" s="5">
        <f>6869</f>
      </c>
      <c r="B6877" s="5" t="s">
        <v>6119</v>
      </c>
      <c r="C6877" s="5" t="s">
        <v>11</v>
      </c>
      <c r="D6877" s="5" t="s">
        <v>12</v>
      </c>
      <c r="E6877" s="5" t="s">
        <v>3962</v>
      </c>
    </row>
    <row r="6878" spans="1:5" x14ac:dyDescent="0.25">
      <c r="A6878" s="5">
        <f>6870</f>
      </c>
      <c r="B6878" s="5" t="s">
        <v>6120</v>
      </c>
      <c r="C6878" s="5" t="s">
        <v>11</v>
      </c>
      <c r="D6878" s="5" t="s">
        <v>12</v>
      </c>
      <c r="E6878" s="5" t="s">
        <v>3962</v>
      </c>
    </row>
    <row r="6879" spans="1:5" x14ac:dyDescent="0.25">
      <c r="A6879" s="5">
        <f>6871</f>
      </c>
      <c r="B6879" s="5" t="s">
        <v>6121</v>
      </c>
      <c r="C6879" s="5" t="s">
        <v>11</v>
      </c>
      <c r="D6879" s="5" t="s">
        <v>12</v>
      </c>
      <c r="E6879" s="5" t="s">
        <v>3962</v>
      </c>
    </row>
    <row r="6880" spans="1:5" x14ac:dyDescent="0.25">
      <c r="A6880" s="5">
        <f>6872</f>
      </c>
      <c r="B6880" s="5" t="s">
        <v>6122</v>
      </c>
      <c r="C6880" s="5" t="s">
        <v>11</v>
      </c>
      <c r="D6880" s="5" t="s">
        <v>12</v>
      </c>
      <c r="E6880" s="5" t="s">
        <v>3962</v>
      </c>
    </row>
    <row r="6881" spans="1:5" x14ac:dyDescent="0.25">
      <c r="A6881" s="5">
        <f>6873</f>
      </c>
      <c r="B6881" s="5" t="s">
        <v>6123</v>
      </c>
      <c r="C6881" s="5" t="s">
        <v>11</v>
      </c>
      <c r="D6881" s="5" t="s">
        <v>12</v>
      </c>
      <c r="E6881" s="5" t="s">
        <v>3962</v>
      </c>
    </row>
    <row r="6882" spans="1:5" x14ac:dyDescent="0.25">
      <c r="A6882" s="5">
        <f>6874</f>
      </c>
      <c r="B6882" s="5" t="s">
        <v>6124</v>
      </c>
      <c r="C6882" s="5" t="s">
        <v>11</v>
      </c>
      <c r="D6882" s="5" t="s">
        <v>12</v>
      </c>
      <c r="E6882" s="5" t="s">
        <v>3962</v>
      </c>
    </row>
    <row r="6883" spans="1:5" x14ac:dyDescent="0.25">
      <c r="A6883" s="5">
        <f>6875</f>
      </c>
      <c r="B6883" s="5" t="s">
        <v>6125</v>
      </c>
      <c r="C6883" s="5" t="s">
        <v>11</v>
      </c>
      <c r="D6883" s="5" t="s">
        <v>12</v>
      </c>
      <c r="E6883" s="5" t="s">
        <v>3962</v>
      </c>
    </row>
    <row r="6884" spans="1:5" x14ac:dyDescent="0.25">
      <c r="A6884" s="5">
        <f>6876</f>
      </c>
      <c r="B6884" s="5" t="s">
        <v>6126</v>
      </c>
      <c r="C6884" s="5" t="s">
        <v>11</v>
      </c>
      <c r="D6884" s="5" t="s">
        <v>12</v>
      </c>
      <c r="E6884" s="5" t="s">
        <v>3962</v>
      </c>
    </row>
    <row r="6885" spans="1:5" x14ac:dyDescent="0.25">
      <c r="A6885" s="5">
        <f>6877</f>
      </c>
      <c r="B6885" s="5" t="s">
        <v>6127</v>
      </c>
      <c r="C6885" s="5" t="s">
        <v>11</v>
      </c>
      <c r="D6885" s="5" t="s">
        <v>12</v>
      </c>
      <c r="E6885" s="5" t="s">
        <v>3962</v>
      </c>
    </row>
    <row r="6886" spans="1:5" x14ac:dyDescent="0.25">
      <c r="A6886" s="5">
        <f>6878</f>
      </c>
      <c r="B6886" s="5" t="s">
        <v>6128</v>
      </c>
      <c r="C6886" s="5" t="s">
        <v>11</v>
      </c>
      <c r="D6886" s="5" t="s">
        <v>12</v>
      </c>
      <c r="E6886" s="5" t="s">
        <v>3962</v>
      </c>
    </row>
    <row r="6887" spans="1:5" x14ac:dyDescent="0.25">
      <c r="A6887" s="5">
        <f>6879</f>
      </c>
      <c r="B6887" s="5" t="s">
        <v>6129</v>
      </c>
      <c r="C6887" s="5" t="s">
        <v>11</v>
      </c>
      <c r="D6887" s="5" t="s">
        <v>12</v>
      </c>
      <c r="E6887" s="5" t="s">
        <v>3962</v>
      </c>
    </row>
    <row r="6888" spans="1:5" x14ac:dyDescent="0.25">
      <c r="A6888" s="5">
        <f>6880</f>
      </c>
      <c r="B6888" s="5" t="s">
        <v>6130</v>
      </c>
      <c r="C6888" s="5" t="s">
        <v>11</v>
      </c>
      <c r="D6888" s="5" t="s">
        <v>12</v>
      </c>
      <c r="E6888" s="5" t="s">
        <v>3962</v>
      </c>
    </row>
    <row r="6889" spans="1:5" x14ac:dyDescent="0.25">
      <c r="A6889" s="5">
        <f>6881</f>
      </c>
      <c r="B6889" s="5" t="s">
        <v>6131</v>
      </c>
      <c r="C6889" s="5" t="s">
        <v>11</v>
      </c>
      <c r="D6889" s="5" t="s">
        <v>12</v>
      </c>
      <c r="E6889" s="5" t="s">
        <v>3962</v>
      </c>
    </row>
    <row r="6890" spans="1:5" x14ac:dyDescent="0.25">
      <c r="A6890" s="5">
        <f>6882</f>
      </c>
      <c r="B6890" s="5" t="s">
        <v>6132</v>
      </c>
      <c r="C6890" s="5" t="s">
        <v>11</v>
      </c>
      <c r="D6890" s="5" t="s">
        <v>12</v>
      </c>
      <c r="E6890" s="5" t="s">
        <v>3962</v>
      </c>
    </row>
    <row r="6891" spans="1:5" x14ac:dyDescent="0.25">
      <c r="A6891" s="5">
        <f>6883</f>
      </c>
      <c r="B6891" s="5" t="s">
        <v>6133</v>
      </c>
      <c r="C6891" s="5" t="s">
        <v>11</v>
      </c>
      <c r="D6891" s="5" t="s">
        <v>12</v>
      </c>
      <c r="E6891" s="5" t="s">
        <v>3962</v>
      </c>
    </row>
    <row r="6892" spans="1:5" x14ac:dyDescent="0.25">
      <c r="A6892" s="5">
        <f>6884</f>
      </c>
      <c r="B6892" s="5" t="s">
        <v>6134</v>
      </c>
      <c r="C6892" s="5" t="s">
        <v>11</v>
      </c>
      <c r="D6892" s="5" t="s">
        <v>12</v>
      </c>
      <c r="E6892" s="5" t="s">
        <v>3962</v>
      </c>
    </row>
    <row r="6893" spans="1:5" x14ac:dyDescent="0.25">
      <c r="A6893" s="5">
        <f>6885</f>
      </c>
      <c r="B6893" s="5" t="s">
        <v>6135</v>
      </c>
      <c r="C6893" s="5" t="s">
        <v>11</v>
      </c>
      <c r="D6893" s="5" t="s">
        <v>12</v>
      </c>
      <c r="E6893" s="5" t="s">
        <v>3962</v>
      </c>
    </row>
    <row r="6894" spans="1:5" x14ac:dyDescent="0.25">
      <c r="A6894" s="5">
        <f>6886</f>
      </c>
      <c r="B6894" s="5" t="s">
        <v>6136</v>
      </c>
      <c r="C6894" s="5" t="s">
        <v>11</v>
      </c>
      <c r="D6894" s="5" t="s">
        <v>12</v>
      </c>
      <c r="E6894" s="5" t="s">
        <v>3962</v>
      </c>
    </row>
    <row r="6895" spans="1:5" x14ac:dyDescent="0.25">
      <c r="A6895" s="5">
        <f>6887</f>
      </c>
      <c r="B6895" s="5" t="s">
        <v>6137</v>
      </c>
      <c r="C6895" s="5" t="s">
        <v>11</v>
      </c>
      <c r="D6895" s="5" t="s">
        <v>12</v>
      </c>
      <c r="E6895" s="5" t="s">
        <v>3962</v>
      </c>
    </row>
    <row r="6896" spans="1:5" x14ac:dyDescent="0.25">
      <c r="A6896" s="5">
        <f>6888</f>
      </c>
      <c r="B6896" s="5" t="s">
        <v>6138</v>
      </c>
      <c r="C6896" s="5" t="s">
        <v>11</v>
      </c>
      <c r="D6896" s="5" t="s">
        <v>12</v>
      </c>
      <c r="E6896" s="5" t="s">
        <v>3962</v>
      </c>
    </row>
    <row r="6897" spans="1:5" x14ac:dyDescent="0.25">
      <c r="A6897" s="5">
        <f>6889</f>
      </c>
      <c r="B6897" s="5" t="s">
        <v>6139</v>
      </c>
      <c r="C6897" s="5" t="s">
        <v>11</v>
      </c>
      <c r="D6897" s="5" t="s">
        <v>12</v>
      </c>
      <c r="E6897" s="5" t="s">
        <v>3962</v>
      </c>
    </row>
    <row r="6898" spans="1:5" x14ac:dyDescent="0.25">
      <c r="A6898" s="5">
        <f>6890</f>
      </c>
      <c r="B6898" s="5" t="s">
        <v>6140</v>
      </c>
      <c r="C6898" s="5" t="s">
        <v>11</v>
      </c>
      <c r="D6898" s="5" t="s">
        <v>12</v>
      </c>
      <c r="E6898" s="5" t="s">
        <v>3962</v>
      </c>
    </row>
    <row r="6899" spans="1:5" x14ac:dyDescent="0.25">
      <c r="A6899" s="5">
        <f>6891</f>
      </c>
      <c r="B6899" s="5" t="s">
        <v>6141</v>
      </c>
      <c r="C6899" s="5" t="s">
        <v>11</v>
      </c>
      <c r="D6899" s="5" t="s">
        <v>12</v>
      </c>
      <c r="E6899" s="5" t="s">
        <v>3962</v>
      </c>
    </row>
    <row r="6900" spans="1:5" x14ac:dyDescent="0.25">
      <c r="A6900" s="5">
        <f>6892</f>
      </c>
      <c r="B6900" s="5" t="s">
        <v>6142</v>
      </c>
      <c r="C6900" s="5" t="s">
        <v>11</v>
      </c>
      <c r="D6900" s="5" t="s">
        <v>12</v>
      </c>
      <c r="E6900" s="5" t="s">
        <v>3962</v>
      </c>
    </row>
    <row r="6901" spans="1:5" x14ac:dyDescent="0.25">
      <c r="A6901" s="5">
        <f>6893</f>
      </c>
      <c r="B6901" s="5" t="s">
        <v>6143</v>
      </c>
      <c r="C6901" s="5" t="s">
        <v>11</v>
      </c>
      <c r="D6901" s="5" t="s">
        <v>12</v>
      </c>
      <c r="E6901" s="5" t="s">
        <v>3962</v>
      </c>
    </row>
    <row r="6902" spans="1:5" x14ac:dyDescent="0.25">
      <c r="A6902" s="5">
        <f>6894</f>
      </c>
      <c r="B6902" s="5" t="s">
        <v>6144</v>
      </c>
      <c r="C6902" s="5" t="s">
        <v>11</v>
      </c>
      <c r="D6902" s="5" t="s">
        <v>12</v>
      </c>
      <c r="E6902" s="5" t="s">
        <v>3962</v>
      </c>
    </row>
    <row r="6903" spans="1:5" x14ac:dyDescent="0.25">
      <c r="A6903" s="5">
        <f>6895</f>
      </c>
      <c r="B6903" s="5" t="s">
        <v>6145</v>
      </c>
      <c r="C6903" s="5" t="s">
        <v>11</v>
      </c>
      <c r="D6903" s="5" t="s">
        <v>12</v>
      </c>
      <c r="E6903" s="5" t="s">
        <v>3962</v>
      </c>
    </row>
    <row r="6904" spans="1:5" x14ac:dyDescent="0.25">
      <c r="A6904" s="5">
        <f>6896</f>
      </c>
      <c r="B6904" s="5" t="s">
        <v>6146</v>
      </c>
      <c r="C6904" s="5" t="s">
        <v>11</v>
      </c>
      <c r="D6904" s="5" t="s">
        <v>12</v>
      </c>
      <c r="E6904" s="5" t="s">
        <v>3962</v>
      </c>
    </row>
    <row r="6905" spans="1:5" x14ac:dyDescent="0.25">
      <c r="A6905" s="5">
        <f>6897</f>
      </c>
      <c r="B6905" s="5" t="s">
        <v>6147</v>
      </c>
      <c r="C6905" s="5" t="s">
        <v>11</v>
      </c>
      <c r="D6905" s="5" t="s">
        <v>12</v>
      </c>
      <c r="E6905" s="5" t="s">
        <v>3962</v>
      </c>
    </row>
    <row r="6906" spans="1:5" x14ac:dyDescent="0.25">
      <c r="A6906" s="5">
        <f>6898</f>
      </c>
      <c r="B6906" s="5" t="s">
        <v>6148</v>
      </c>
      <c r="C6906" s="5" t="s">
        <v>11</v>
      </c>
      <c r="D6906" s="5" t="s">
        <v>12</v>
      </c>
      <c r="E6906" s="5" t="s">
        <v>3962</v>
      </c>
    </row>
    <row r="6907" spans="1:5" x14ac:dyDescent="0.25">
      <c r="A6907" s="5">
        <f>6899</f>
      </c>
      <c r="B6907" s="5" t="s">
        <v>6149</v>
      </c>
      <c r="C6907" s="5" t="s">
        <v>11</v>
      </c>
      <c r="D6907" s="5" t="s">
        <v>12</v>
      </c>
      <c r="E6907" s="5" t="s">
        <v>3962</v>
      </c>
    </row>
    <row r="6908" spans="1:5" x14ac:dyDescent="0.25">
      <c r="A6908" s="5">
        <f>6900</f>
      </c>
      <c r="B6908" s="5" t="s">
        <v>6150</v>
      </c>
      <c r="C6908" s="5" t="s">
        <v>11</v>
      </c>
      <c r="D6908" s="5" t="s">
        <v>12</v>
      </c>
      <c r="E6908" s="5" t="s">
        <v>3962</v>
      </c>
    </row>
    <row r="6909" spans="1:5" x14ac:dyDescent="0.25">
      <c r="A6909" s="5">
        <f>6901</f>
      </c>
      <c r="B6909" s="5" t="s">
        <v>6151</v>
      </c>
      <c r="C6909" s="5" t="s">
        <v>11</v>
      </c>
      <c r="D6909" s="5" t="s">
        <v>12</v>
      </c>
      <c r="E6909" s="5" t="s">
        <v>3962</v>
      </c>
    </row>
    <row r="6910" spans="1:5" x14ac:dyDescent="0.25">
      <c r="A6910" s="5">
        <f>6902</f>
      </c>
      <c r="B6910" s="5" t="s">
        <v>6152</v>
      </c>
      <c r="C6910" s="5" t="s">
        <v>11</v>
      </c>
      <c r="D6910" s="5" t="s">
        <v>12</v>
      </c>
      <c r="E6910" s="5" t="s">
        <v>3962</v>
      </c>
    </row>
    <row r="6911" spans="1:5" x14ac:dyDescent="0.25">
      <c r="A6911" s="5">
        <f>6903</f>
      </c>
      <c r="B6911" s="5" t="s">
        <v>6153</v>
      </c>
      <c r="C6911" s="5" t="s">
        <v>11</v>
      </c>
      <c r="D6911" s="5" t="s">
        <v>12</v>
      </c>
      <c r="E6911" s="5" t="s">
        <v>3962</v>
      </c>
    </row>
    <row r="6912" spans="1:5" x14ac:dyDescent="0.25">
      <c r="A6912" s="5">
        <f>6904</f>
      </c>
      <c r="B6912" s="5" t="s">
        <v>6154</v>
      </c>
      <c r="C6912" s="5" t="s">
        <v>11</v>
      </c>
      <c r="D6912" s="5" t="s">
        <v>12</v>
      </c>
      <c r="E6912" s="5" t="s">
        <v>3962</v>
      </c>
    </row>
    <row r="6913" spans="1:5" x14ac:dyDescent="0.25">
      <c r="A6913" s="5">
        <f>6905</f>
      </c>
      <c r="B6913" s="5" t="s">
        <v>6155</v>
      </c>
      <c r="C6913" s="5" t="s">
        <v>11</v>
      </c>
      <c r="D6913" s="5" t="s">
        <v>12</v>
      </c>
      <c r="E6913" s="5" t="s">
        <v>3962</v>
      </c>
    </row>
    <row r="6914" spans="1:5" x14ac:dyDescent="0.25">
      <c r="A6914" s="5">
        <f>6906</f>
      </c>
      <c r="B6914" s="5" t="s">
        <v>6156</v>
      </c>
      <c r="C6914" s="5" t="s">
        <v>11</v>
      </c>
      <c r="D6914" s="5" t="s">
        <v>12</v>
      </c>
      <c r="E6914" s="5" t="s">
        <v>3962</v>
      </c>
    </row>
    <row r="6915" spans="1:5" x14ac:dyDescent="0.25">
      <c r="A6915" s="5">
        <f>6907</f>
      </c>
      <c r="B6915" s="5" t="s">
        <v>6157</v>
      </c>
      <c r="C6915" s="5" t="s">
        <v>11</v>
      </c>
      <c r="D6915" s="5" t="s">
        <v>12</v>
      </c>
      <c r="E6915" s="5" t="s">
        <v>3962</v>
      </c>
    </row>
    <row r="6916" spans="1:5" x14ac:dyDescent="0.25">
      <c r="A6916" s="5">
        <f>6908</f>
      </c>
      <c r="B6916" s="5" t="s">
        <v>6158</v>
      </c>
      <c r="C6916" s="5" t="s">
        <v>11</v>
      </c>
      <c r="D6916" s="5" t="s">
        <v>12</v>
      </c>
      <c r="E6916" s="5" t="s">
        <v>3962</v>
      </c>
    </row>
    <row r="6917" spans="1:5" x14ac:dyDescent="0.25">
      <c r="A6917" s="5">
        <f>6909</f>
      </c>
      <c r="B6917" s="5" t="s">
        <v>6159</v>
      </c>
      <c r="C6917" s="5" t="s">
        <v>11</v>
      </c>
      <c r="D6917" s="5" t="s">
        <v>12</v>
      </c>
      <c r="E6917" s="5" t="s">
        <v>3962</v>
      </c>
    </row>
    <row r="6918" spans="1:5" x14ac:dyDescent="0.25">
      <c r="A6918" s="5">
        <f>6910</f>
      </c>
      <c r="B6918" s="5" t="s">
        <v>6160</v>
      </c>
      <c r="C6918" s="5" t="s">
        <v>11</v>
      </c>
      <c r="D6918" s="5" t="s">
        <v>12</v>
      </c>
      <c r="E6918" s="5" t="s">
        <v>3962</v>
      </c>
    </row>
    <row r="6919" spans="1:5" x14ac:dyDescent="0.25">
      <c r="A6919" s="5">
        <f>6911</f>
      </c>
      <c r="B6919" s="5" t="s">
        <v>6161</v>
      </c>
      <c r="C6919" s="5" t="s">
        <v>11</v>
      </c>
      <c r="D6919" s="5" t="s">
        <v>12</v>
      </c>
      <c r="E6919" s="5" t="s">
        <v>3962</v>
      </c>
    </row>
    <row r="6920" spans="1:5" x14ac:dyDescent="0.25">
      <c r="A6920" s="5">
        <f>6912</f>
      </c>
      <c r="B6920" s="5" t="s">
        <v>6162</v>
      </c>
      <c r="C6920" s="5" t="s">
        <v>11</v>
      </c>
      <c r="D6920" s="5" t="s">
        <v>12</v>
      </c>
      <c r="E6920" s="5" t="s">
        <v>3962</v>
      </c>
    </row>
    <row r="6921" spans="1:5" x14ac:dyDescent="0.25">
      <c r="A6921" s="5">
        <f>6913</f>
      </c>
      <c r="B6921" s="5" t="s">
        <v>6163</v>
      </c>
      <c r="C6921" s="5" t="s">
        <v>11</v>
      </c>
      <c r="D6921" s="5" t="s">
        <v>12</v>
      </c>
      <c r="E6921" s="5" t="s">
        <v>3962</v>
      </c>
    </row>
    <row r="6922" spans="1:5" x14ac:dyDescent="0.25">
      <c r="A6922" s="5">
        <f>6914</f>
      </c>
      <c r="B6922" s="5" t="s">
        <v>6164</v>
      </c>
      <c r="C6922" s="5" t="s">
        <v>11</v>
      </c>
      <c r="D6922" s="5" t="s">
        <v>12</v>
      </c>
      <c r="E6922" s="5" t="s">
        <v>3962</v>
      </c>
    </row>
    <row r="6923" spans="1:5" x14ac:dyDescent="0.25">
      <c r="A6923" s="5">
        <f>6915</f>
      </c>
      <c r="B6923" s="5" t="s">
        <v>6165</v>
      </c>
      <c r="C6923" s="5" t="s">
        <v>11</v>
      </c>
      <c r="D6923" s="5" t="s">
        <v>12</v>
      </c>
      <c r="E6923" s="5" t="s">
        <v>3962</v>
      </c>
    </row>
    <row r="6924" spans="1:5" x14ac:dyDescent="0.25">
      <c r="A6924" s="5">
        <f>6916</f>
      </c>
      <c r="B6924" s="5" t="s">
        <v>6166</v>
      </c>
      <c r="C6924" s="5" t="s">
        <v>11</v>
      </c>
      <c r="D6924" s="5" t="s">
        <v>12</v>
      </c>
      <c r="E6924" s="5" t="s">
        <v>3962</v>
      </c>
    </row>
    <row r="6925" spans="1:5" x14ac:dyDescent="0.25">
      <c r="A6925" s="5">
        <f>6917</f>
      </c>
      <c r="B6925" s="5" t="s">
        <v>6167</v>
      </c>
      <c r="C6925" s="5" t="s">
        <v>11</v>
      </c>
      <c r="D6925" s="5" t="s">
        <v>12</v>
      </c>
      <c r="E6925" s="5" t="s">
        <v>3962</v>
      </c>
    </row>
    <row r="6926" spans="1:5" x14ac:dyDescent="0.25">
      <c r="A6926" s="5">
        <f>6918</f>
      </c>
      <c r="B6926" s="5" t="s">
        <v>6168</v>
      </c>
      <c r="C6926" s="5" t="s">
        <v>11</v>
      </c>
      <c r="D6926" s="5" t="s">
        <v>12</v>
      </c>
      <c r="E6926" s="5" t="s">
        <v>3962</v>
      </c>
    </row>
    <row r="6927" spans="1:5" x14ac:dyDescent="0.25">
      <c r="A6927" s="5">
        <f>6919</f>
      </c>
      <c r="B6927" s="5" t="s">
        <v>6169</v>
      </c>
      <c r="C6927" s="5" t="s">
        <v>11</v>
      </c>
      <c r="D6927" s="5" t="s">
        <v>12</v>
      </c>
      <c r="E6927" s="5" t="s">
        <v>3962</v>
      </c>
    </row>
    <row r="6928" spans="1:5" x14ac:dyDescent="0.25">
      <c r="A6928" s="5">
        <f>6920</f>
      </c>
      <c r="B6928" s="5" t="s">
        <v>6170</v>
      </c>
      <c r="C6928" s="5" t="s">
        <v>11</v>
      </c>
      <c r="D6928" s="5" t="s">
        <v>12</v>
      </c>
      <c r="E6928" s="5" t="s">
        <v>3962</v>
      </c>
    </row>
    <row r="6929" spans="1:5" x14ac:dyDescent="0.25">
      <c r="A6929" s="5">
        <f>6921</f>
      </c>
      <c r="B6929" s="5" t="s">
        <v>6171</v>
      </c>
      <c r="C6929" s="5" t="s">
        <v>11</v>
      </c>
      <c r="D6929" s="5" t="s">
        <v>12</v>
      </c>
      <c r="E6929" s="5" t="s">
        <v>3962</v>
      </c>
    </row>
    <row r="6930" spans="1:5" x14ac:dyDescent="0.25">
      <c r="A6930" s="5">
        <f>6922</f>
      </c>
      <c r="B6930" s="5" t="s">
        <v>6172</v>
      </c>
      <c r="C6930" s="5" t="s">
        <v>11</v>
      </c>
      <c r="D6930" s="5" t="s">
        <v>12</v>
      </c>
      <c r="E6930" s="5" t="s">
        <v>3962</v>
      </c>
    </row>
    <row r="6931" spans="1:5" x14ac:dyDescent="0.25">
      <c r="A6931" s="5">
        <f>6923</f>
      </c>
      <c r="B6931" s="5" t="s">
        <v>6173</v>
      </c>
      <c r="C6931" s="5" t="s">
        <v>11</v>
      </c>
      <c r="D6931" s="5" t="s">
        <v>12</v>
      </c>
      <c r="E6931" s="5" t="s">
        <v>3962</v>
      </c>
    </row>
    <row r="6932" spans="1:5" x14ac:dyDescent="0.25">
      <c r="A6932" s="5">
        <f>6924</f>
      </c>
      <c r="B6932" s="5" t="s">
        <v>6174</v>
      </c>
      <c r="C6932" s="5" t="s">
        <v>11</v>
      </c>
      <c r="D6932" s="5" t="s">
        <v>12</v>
      </c>
      <c r="E6932" s="5" t="s">
        <v>3962</v>
      </c>
    </row>
    <row r="6933" spans="1:5" x14ac:dyDescent="0.25">
      <c r="A6933" s="5">
        <f>6925</f>
      </c>
      <c r="B6933" s="5" t="s">
        <v>6175</v>
      </c>
      <c r="C6933" s="5" t="s">
        <v>11</v>
      </c>
      <c r="D6933" s="5" t="s">
        <v>12</v>
      </c>
      <c r="E6933" s="5" t="s">
        <v>3962</v>
      </c>
    </row>
    <row r="6934" spans="1:5" x14ac:dyDescent="0.25">
      <c r="A6934" s="5">
        <f>6926</f>
      </c>
      <c r="B6934" s="5" t="s">
        <v>6176</v>
      </c>
      <c r="C6934" s="5" t="s">
        <v>11</v>
      </c>
      <c r="D6934" s="5" t="s">
        <v>12</v>
      </c>
      <c r="E6934" s="5" t="s">
        <v>3962</v>
      </c>
    </row>
    <row r="6935" spans="1:5" x14ac:dyDescent="0.25">
      <c r="A6935" s="5">
        <f>6927</f>
      </c>
      <c r="B6935" s="5" t="s">
        <v>6177</v>
      </c>
      <c r="C6935" s="5" t="s">
        <v>11</v>
      </c>
      <c r="D6935" s="5" t="s">
        <v>12</v>
      </c>
      <c r="E6935" s="5" t="s">
        <v>3962</v>
      </c>
    </row>
    <row r="6936" spans="1:5" x14ac:dyDescent="0.25">
      <c r="A6936" s="5">
        <f>6928</f>
      </c>
      <c r="B6936" s="5" t="s">
        <v>6178</v>
      </c>
      <c r="C6936" s="5" t="s">
        <v>11</v>
      </c>
      <c r="D6936" s="5" t="s">
        <v>12</v>
      </c>
      <c r="E6936" s="5" t="s">
        <v>3962</v>
      </c>
    </row>
    <row r="6937" spans="1:5" x14ac:dyDescent="0.25">
      <c r="A6937" s="5">
        <f>6929</f>
      </c>
      <c r="B6937" s="5" t="s">
        <v>6179</v>
      </c>
      <c r="C6937" s="5" t="s">
        <v>11</v>
      </c>
      <c r="D6937" s="5" t="s">
        <v>12</v>
      </c>
      <c r="E6937" s="5" t="s">
        <v>3962</v>
      </c>
    </row>
    <row r="6938" spans="1:5" x14ac:dyDescent="0.25">
      <c r="A6938" s="5">
        <f>6930</f>
      </c>
      <c r="B6938" s="5" t="s">
        <v>6180</v>
      </c>
      <c r="C6938" s="5" t="s">
        <v>11</v>
      </c>
      <c r="D6938" s="5" t="s">
        <v>12</v>
      </c>
      <c r="E6938" s="5" t="s">
        <v>3962</v>
      </c>
    </row>
    <row r="6939" spans="1:5" x14ac:dyDescent="0.25">
      <c r="A6939" s="5">
        <f>6931</f>
      </c>
      <c r="B6939" s="5" t="s">
        <v>6181</v>
      </c>
      <c r="C6939" s="5" t="s">
        <v>11</v>
      </c>
      <c r="D6939" s="5" t="s">
        <v>12</v>
      </c>
      <c r="E6939" s="5" t="s">
        <v>3962</v>
      </c>
    </row>
    <row r="6940" spans="1:5" x14ac:dyDescent="0.25">
      <c r="A6940" s="5">
        <f>6932</f>
      </c>
      <c r="B6940" s="5" t="s">
        <v>6182</v>
      </c>
      <c r="C6940" s="5" t="s">
        <v>11</v>
      </c>
      <c r="D6940" s="5" t="s">
        <v>12</v>
      </c>
      <c r="E6940" s="5" t="s">
        <v>3962</v>
      </c>
    </row>
    <row r="6941" spans="1:5" x14ac:dyDescent="0.25">
      <c r="A6941" s="5">
        <f>6933</f>
      </c>
      <c r="B6941" s="5" t="s">
        <v>6183</v>
      </c>
      <c r="C6941" s="5" t="s">
        <v>11</v>
      </c>
      <c r="D6941" s="5" t="s">
        <v>12</v>
      </c>
      <c r="E6941" s="5" t="s">
        <v>3962</v>
      </c>
    </row>
    <row r="6942" spans="1:5" x14ac:dyDescent="0.25">
      <c r="A6942" s="5">
        <f>6934</f>
      </c>
      <c r="B6942" s="5" t="s">
        <v>6184</v>
      </c>
      <c r="C6942" s="5" t="s">
        <v>11</v>
      </c>
      <c r="D6942" s="5" t="s">
        <v>12</v>
      </c>
      <c r="E6942" s="5" t="s">
        <v>3962</v>
      </c>
    </row>
    <row r="6943" spans="1:5" x14ac:dyDescent="0.25">
      <c r="A6943" s="5">
        <f>6935</f>
      </c>
      <c r="B6943" s="5" t="s">
        <v>6185</v>
      </c>
      <c r="C6943" s="5" t="s">
        <v>11</v>
      </c>
      <c r="D6943" s="5" t="s">
        <v>12</v>
      </c>
      <c r="E6943" s="5" t="s">
        <v>3962</v>
      </c>
    </row>
    <row r="6944" spans="1:5" x14ac:dyDescent="0.25">
      <c r="A6944" s="5">
        <f>6936</f>
      </c>
      <c r="B6944" s="5" t="s">
        <v>6186</v>
      </c>
      <c r="C6944" s="5" t="s">
        <v>11</v>
      </c>
      <c r="D6944" s="5" t="s">
        <v>12</v>
      </c>
      <c r="E6944" s="5" t="s">
        <v>3962</v>
      </c>
    </row>
    <row r="6945" spans="1:5" x14ac:dyDescent="0.25">
      <c r="A6945" s="5">
        <f>6937</f>
      </c>
      <c r="B6945" s="5" t="s">
        <v>6187</v>
      </c>
      <c r="C6945" s="5" t="s">
        <v>11</v>
      </c>
      <c r="D6945" s="5" t="s">
        <v>12</v>
      </c>
      <c r="E6945" s="5" t="s">
        <v>3962</v>
      </c>
    </row>
    <row r="6946" spans="1:5" x14ac:dyDescent="0.25">
      <c r="A6946" s="5">
        <f>6938</f>
      </c>
      <c r="B6946" s="5" t="s">
        <v>6188</v>
      </c>
      <c r="C6946" s="5" t="s">
        <v>11</v>
      </c>
      <c r="D6946" s="5" t="s">
        <v>12</v>
      </c>
      <c r="E6946" s="5" t="s">
        <v>3962</v>
      </c>
    </row>
    <row r="6947" spans="1:5" x14ac:dyDescent="0.25">
      <c r="A6947" s="5">
        <f>6939</f>
      </c>
      <c r="B6947" s="5" t="s">
        <v>6189</v>
      </c>
      <c r="C6947" s="5" t="s">
        <v>11</v>
      </c>
      <c r="D6947" s="5" t="s">
        <v>12</v>
      </c>
      <c r="E6947" s="5" t="s">
        <v>3962</v>
      </c>
    </row>
    <row r="6948" spans="1:5" x14ac:dyDescent="0.25">
      <c r="A6948" s="5">
        <f>6940</f>
      </c>
      <c r="B6948" s="5" t="s">
        <v>6190</v>
      </c>
      <c r="C6948" s="5" t="s">
        <v>11</v>
      </c>
      <c r="D6948" s="5" t="s">
        <v>12</v>
      </c>
      <c r="E6948" s="5" t="s">
        <v>3962</v>
      </c>
    </row>
    <row r="6949" spans="1:5" x14ac:dyDescent="0.25">
      <c r="A6949" s="5">
        <f>6941</f>
      </c>
      <c r="B6949" s="5" t="s">
        <v>6191</v>
      </c>
      <c r="C6949" s="5" t="s">
        <v>11</v>
      </c>
      <c r="D6949" s="5" t="s">
        <v>12</v>
      </c>
      <c r="E6949" s="5" t="s">
        <v>3962</v>
      </c>
    </row>
    <row r="6950" spans="1:5" x14ac:dyDescent="0.25">
      <c r="A6950" s="5">
        <f>6942</f>
      </c>
      <c r="B6950" s="5" t="s">
        <v>6192</v>
      </c>
      <c r="C6950" s="5" t="s">
        <v>11</v>
      </c>
      <c r="D6950" s="5" t="s">
        <v>12</v>
      </c>
      <c r="E6950" s="5" t="s">
        <v>3962</v>
      </c>
    </row>
    <row r="6951" spans="1:5" x14ac:dyDescent="0.25">
      <c r="A6951" s="5">
        <f>6943</f>
      </c>
      <c r="B6951" s="5" t="s">
        <v>6193</v>
      </c>
      <c r="C6951" s="5" t="s">
        <v>11</v>
      </c>
      <c r="D6951" s="5" t="s">
        <v>12</v>
      </c>
      <c r="E6951" s="5" t="s">
        <v>3962</v>
      </c>
    </row>
    <row r="6952" spans="1:5" x14ac:dyDescent="0.25">
      <c r="A6952" s="5">
        <f>6944</f>
      </c>
      <c r="B6952" s="5" t="s">
        <v>6194</v>
      </c>
      <c r="C6952" s="5" t="s">
        <v>11</v>
      </c>
      <c r="D6952" s="5" t="s">
        <v>12</v>
      </c>
      <c r="E6952" s="5" t="s">
        <v>3962</v>
      </c>
    </row>
    <row r="6953" spans="1:5" x14ac:dyDescent="0.25">
      <c r="A6953" s="5">
        <f>6945</f>
      </c>
      <c r="B6953" s="5" t="s">
        <v>6195</v>
      </c>
      <c r="C6953" s="5" t="s">
        <v>11</v>
      </c>
      <c r="D6953" s="5" t="s">
        <v>12</v>
      </c>
      <c r="E6953" s="5" t="s">
        <v>3962</v>
      </c>
    </row>
    <row r="6954" spans="1:5" x14ac:dyDescent="0.25">
      <c r="A6954" s="5">
        <f>6946</f>
      </c>
      <c r="B6954" s="5" t="s">
        <v>6196</v>
      </c>
      <c r="C6954" s="5" t="s">
        <v>11</v>
      </c>
      <c r="D6954" s="5" t="s">
        <v>12</v>
      </c>
      <c r="E6954" s="5" t="s">
        <v>3962</v>
      </c>
    </row>
    <row r="6955" spans="1:5" x14ac:dyDescent="0.25">
      <c r="A6955" s="5">
        <f>6947</f>
      </c>
      <c r="B6955" s="5" t="s">
        <v>6197</v>
      </c>
      <c r="C6955" s="5" t="s">
        <v>11</v>
      </c>
      <c r="D6955" s="5" t="s">
        <v>12</v>
      </c>
      <c r="E6955" s="5" t="s">
        <v>3962</v>
      </c>
    </row>
    <row r="6956" spans="1:5" x14ac:dyDescent="0.25">
      <c r="A6956" s="5">
        <f>6948</f>
      </c>
      <c r="B6956" s="5" t="s">
        <v>6198</v>
      </c>
      <c r="C6956" s="5" t="s">
        <v>11</v>
      </c>
      <c r="D6956" s="5" t="s">
        <v>12</v>
      </c>
      <c r="E6956" s="5" t="s">
        <v>3962</v>
      </c>
    </row>
    <row r="6957" spans="1:5" x14ac:dyDescent="0.25">
      <c r="A6957" s="5">
        <f>6949</f>
      </c>
      <c r="B6957" s="5" t="s">
        <v>6199</v>
      </c>
      <c r="C6957" s="5" t="s">
        <v>11</v>
      </c>
      <c r="D6957" s="5" t="s">
        <v>12</v>
      </c>
      <c r="E6957" s="5" t="s">
        <v>3962</v>
      </c>
    </row>
    <row r="6958" spans="1:5" x14ac:dyDescent="0.25">
      <c r="A6958" s="5">
        <f>6950</f>
      </c>
      <c r="B6958" s="5" t="s">
        <v>6200</v>
      </c>
      <c r="C6958" s="5" t="s">
        <v>11</v>
      </c>
      <c r="D6958" s="5" t="s">
        <v>12</v>
      </c>
      <c r="E6958" s="5" t="s">
        <v>3962</v>
      </c>
    </row>
    <row r="6959" spans="1:5" x14ac:dyDescent="0.25">
      <c r="A6959" s="5">
        <f>6951</f>
      </c>
      <c r="B6959" s="5" t="s">
        <v>6201</v>
      </c>
      <c r="C6959" s="5" t="s">
        <v>11</v>
      </c>
      <c r="D6959" s="5" t="s">
        <v>12</v>
      </c>
      <c r="E6959" s="5" t="s">
        <v>3962</v>
      </c>
    </row>
    <row r="6960" spans="1:5" x14ac:dyDescent="0.25">
      <c r="A6960" s="5">
        <f>6952</f>
      </c>
      <c r="B6960" s="5" t="s">
        <v>6202</v>
      </c>
      <c r="C6960" s="5" t="s">
        <v>11</v>
      </c>
      <c r="D6960" s="5" t="s">
        <v>12</v>
      </c>
      <c r="E6960" s="5" t="s">
        <v>3962</v>
      </c>
    </row>
    <row r="6961" spans="1:5" x14ac:dyDescent="0.25">
      <c r="A6961" s="5">
        <f>6953</f>
      </c>
      <c r="B6961" s="5" t="s">
        <v>6203</v>
      </c>
      <c r="C6961" s="5" t="s">
        <v>11</v>
      </c>
      <c r="D6961" s="5" t="s">
        <v>12</v>
      </c>
      <c r="E6961" s="5" t="s">
        <v>3962</v>
      </c>
    </row>
    <row r="6962" spans="1:5" x14ac:dyDescent="0.25">
      <c r="A6962" s="5">
        <f>6954</f>
      </c>
      <c r="B6962" s="5" t="s">
        <v>6204</v>
      </c>
      <c r="C6962" s="5" t="s">
        <v>11</v>
      </c>
      <c r="D6962" s="5" t="s">
        <v>12</v>
      </c>
      <c r="E6962" s="5" t="s">
        <v>3962</v>
      </c>
    </row>
    <row r="6963" spans="1:5" x14ac:dyDescent="0.25">
      <c r="A6963" s="5">
        <f>6955</f>
      </c>
      <c r="B6963" s="5" t="s">
        <v>6205</v>
      </c>
      <c r="C6963" s="5" t="s">
        <v>11</v>
      </c>
      <c r="D6963" s="5" t="s">
        <v>12</v>
      </c>
      <c r="E6963" s="5" t="s">
        <v>3962</v>
      </c>
    </row>
    <row r="6964" spans="1:5" x14ac:dyDescent="0.25">
      <c r="A6964" s="5">
        <f>6956</f>
      </c>
      <c r="B6964" s="5" t="s">
        <v>6206</v>
      </c>
      <c r="C6964" s="5" t="s">
        <v>11</v>
      </c>
      <c r="D6964" s="5" t="s">
        <v>12</v>
      </c>
      <c r="E6964" s="5" t="s">
        <v>3962</v>
      </c>
    </row>
    <row r="6965" spans="1:5" x14ac:dyDescent="0.25">
      <c r="A6965" s="5">
        <f>6957</f>
      </c>
      <c r="B6965" s="5" t="s">
        <v>6207</v>
      </c>
      <c r="C6965" s="5" t="s">
        <v>11</v>
      </c>
      <c r="D6965" s="5" t="s">
        <v>12</v>
      </c>
      <c r="E6965" s="5" t="s">
        <v>3962</v>
      </c>
    </row>
    <row r="6966" spans="1:5" x14ac:dyDescent="0.25">
      <c r="A6966" s="5">
        <f>6958</f>
      </c>
      <c r="B6966" s="5" t="s">
        <v>6208</v>
      </c>
      <c r="C6966" s="5" t="s">
        <v>11</v>
      </c>
      <c r="D6966" s="5" t="s">
        <v>12</v>
      </c>
      <c r="E6966" s="5" t="s">
        <v>3962</v>
      </c>
    </row>
    <row r="6967" spans="1:5" x14ac:dyDescent="0.25">
      <c r="A6967" s="5">
        <f>6959</f>
      </c>
      <c r="B6967" s="5" t="s">
        <v>6209</v>
      </c>
      <c r="C6967" s="5" t="s">
        <v>11</v>
      </c>
      <c r="D6967" s="5" t="s">
        <v>12</v>
      </c>
      <c r="E6967" s="5" t="s">
        <v>3962</v>
      </c>
    </row>
    <row r="6968" spans="1:5" x14ac:dyDescent="0.25">
      <c r="A6968" s="5">
        <f>6960</f>
      </c>
      <c r="B6968" s="5" t="s">
        <v>6210</v>
      </c>
      <c r="C6968" s="5" t="s">
        <v>11</v>
      </c>
      <c r="D6968" s="5" t="s">
        <v>12</v>
      </c>
      <c r="E6968" s="5" t="s">
        <v>3962</v>
      </c>
    </row>
    <row r="6969" spans="1:5" x14ac:dyDescent="0.25">
      <c r="A6969" s="5">
        <f>6961</f>
      </c>
      <c r="B6969" s="5" t="s">
        <v>6211</v>
      </c>
      <c r="C6969" s="5" t="s">
        <v>11</v>
      </c>
      <c r="D6969" s="5" t="s">
        <v>12</v>
      </c>
      <c r="E6969" s="5" t="s">
        <v>3962</v>
      </c>
    </row>
    <row r="6970" spans="1:5" x14ac:dyDescent="0.25">
      <c r="A6970" s="5">
        <f>6962</f>
      </c>
      <c r="B6970" s="5" t="s">
        <v>6212</v>
      </c>
      <c r="C6970" s="5" t="s">
        <v>11</v>
      </c>
      <c r="D6970" s="5" t="s">
        <v>12</v>
      </c>
      <c r="E6970" s="5" t="s">
        <v>3962</v>
      </c>
    </row>
    <row r="6971" spans="1:5" x14ac:dyDescent="0.25">
      <c r="A6971" s="5">
        <f>6963</f>
      </c>
      <c r="B6971" s="5" t="s">
        <v>6213</v>
      </c>
      <c r="C6971" s="5" t="s">
        <v>11</v>
      </c>
      <c r="D6971" s="5" t="s">
        <v>12</v>
      </c>
      <c r="E6971" s="5" t="s">
        <v>3962</v>
      </c>
    </row>
    <row r="6972" spans="1:5" x14ac:dyDescent="0.25">
      <c r="A6972" s="5">
        <f>6964</f>
      </c>
      <c r="B6972" s="5" t="s">
        <v>6214</v>
      </c>
      <c r="C6972" s="5" t="s">
        <v>11</v>
      </c>
      <c r="D6972" s="5" t="s">
        <v>12</v>
      </c>
      <c r="E6972" s="5" t="s">
        <v>3962</v>
      </c>
    </row>
    <row r="6973" spans="1:5" x14ac:dyDescent="0.25">
      <c r="A6973" s="5">
        <f>6965</f>
      </c>
      <c r="B6973" s="5" t="s">
        <v>6215</v>
      </c>
      <c r="C6973" s="5" t="s">
        <v>11</v>
      </c>
      <c r="D6973" s="5" t="s">
        <v>12</v>
      </c>
      <c r="E6973" s="5" t="s">
        <v>3962</v>
      </c>
    </row>
    <row r="6974" spans="1:5" x14ac:dyDescent="0.25">
      <c r="A6974" s="5">
        <f>6966</f>
      </c>
      <c r="B6974" s="5" t="s">
        <v>6216</v>
      </c>
      <c r="C6974" s="5" t="s">
        <v>11</v>
      </c>
      <c r="D6974" s="5" t="s">
        <v>12</v>
      </c>
      <c r="E6974" s="5" t="s">
        <v>3962</v>
      </c>
    </row>
    <row r="6975" spans="1:5" x14ac:dyDescent="0.25">
      <c r="A6975" s="5">
        <f>6967</f>
      </c>
      <c r="B6975" s="5" t="s">
        <v>6217</v>
      </c>
      <c r="C6975" s="5" t="s">
        <v>11</v>
      </c>
      <c r="D6975" s="5" t="s">
        <v>12</v>
      </c>
      <c r="E6975" s="5" t="s">
        <v>3962</v>
      </c>
    </row>
    <row r="6976" spans="1:5" x14ac:dyDescent="0.25">
      <c r="A6976" s="5">
        <f>6968</f>
      </c>
      <c r="B6976" s="5" t="s">
        <v>6218</v>
      </c>
      <c r="C6976" s="5" t="s">
        <v>11</v>
      </c>
      <c r="D6976" s="5" t="s">
        <v>12</v>
      </c>
      <c r="E6976" s="5" t="s">
        <v>3962</v>
      </c>
    </row>
    <row r="6977" spans="1:5" x14ac:dyDescent="0.25">
      <c r="A6977" s="5">
        <f>6969</f>
      </c>
      <c r="B6977" s="5" t="s">
        <v>6219</v>
      </c>
      <c r="C6977" s="5" t="s">
        <v>11</v>
      </c>
      <c r="D6977" s="5" t="s">
        <v>12</v>
      </c>
      <c r="E6977" s="5" t="s">
        <v>3962</v>
      </c>
    </row>
    <row r="6978" spans="1:5" x14ac:dyDescent="0.25">
      <c r="A6978" s="5">
        <f>6970</f>
      </c>
      <c r="B6978" s="5" t="s">
        <v>6220</v>
      </c>
      <c r="C6978" s="5" t="s">
        <v>11</v>
      </c>
      <c r="D6978" s="5" t="s">
        <v>12</v>
      </c>
      <c r="E6978" s="5" t="s">
        <v>3962</v>
      </c>
    </row>
    <row r="6979" spans="1:5" x14ac:dyDescent="0.25">
      <c r="A6979" s="5">
        <f>6971</f>
      </c>
      <c r="B6979" s="5" t="s">
        <v>6221</v>
      </c>
      <c r="C6979" s="5" t="s">
        <v>11</v>
      </c>
      <c r="D6979" s="5" t="s">
        <v>12</v>
      </c>
      <c r="E6979" s="5" t="s">
        <v>3962</v>
      </c>
    </row>
    <row r="6980" spans="1:5" x14ac:dyDescent="0.25">
      <c r="A6980" s="5">
        <f>6972</f>
      </c>
      <c r="B6980" s="5" t="s">
        <v>6222</v>
      </c>
      <c r="C6980" s="5" t="s">
        <v>11</v>
      </c>
      <c r="D6980" s="5" t="s">
        <v>12</v>
      </c>
      <c r="E6980" s="5" t="s">
        <v>3962</v>
      </c>
    </row>
    <row r="6981" spans="1:5" x14ac:dyDescent="0.25">
      <c r="A6981" s="5">
        <f>6973</f>
      </c>
      <c r="B6981" s="5" t="s">
        <v>6223</v>
      </c>
      <c r="C6981" s="5" t="s">
        <v>11</v>
      </c>
      <c r="D6981" s="5" t="s">
        <v>12</v>
      </c>
      <c r="E6981" s="5" t="s">
        <v>3962</v>
      </c>
    </row>
    <row r="6982" spans="1:5" x14ac:dyDescent="0.25">
      <c r="A6982" s="5">
        <f>6974</f>
      </c>
      <c r="B6982" s="5" t="s">
        <v>6224</v>
      </c>
      <c r="C6982" s="5" t="s">
        <v>11</v>
      </c>
      <c r="D6982" s="5" t="s">
        <v>12</v>
      </c>
      <c r="E6982" s="5" t="s">
        <v>3962</v>
      </c>
    </row>
    <row r="6983" spans="1:5" x14ac:dyDescent="0.25">
      <c r="A6983" s="5">
        <f>6975</f>
      </c>
      <c r="B6983" s="5" t="s">
        <v>6225</v>
      </c>
      <c r="C6983" s="5" t="s">
        <v>11</v>
      </c>
      <c r="D6983" s="5" t="s">
        <v>12</v>
      </c>
      <c r="E6983" s="5" t="s">
        <v>3962</v>
      </c>
    </row>
    <row r="6984" spans="1:5" x14ac:dyDescent="0.25">
      <c r="A6984" s="5">
        <f>6976</f>
      </c>
      <c r="B6984" s="5" t="s">
        <v>6226</v>
      </c>
      <c r="C6984" s="5" t="s">
        <v>11</v>
      </c>
      <c r="D6984" s="5" t="s">
        <v>12</v>
      </c>
      <c r="E6984" s="5" t="s">
        <v>3962</v>
      </c>
    </row>
    <row r="6985" spans="1:5" x14ac:dyDescent="0.25">
      <c r="A6985" s="5">
        <f>6977</f>
      </c>
      <c r="B6985" s="5" t="s">
        <v>6227</v>
      </c>
      <c r="C6985" s="5" t="s">
        <v>11</v>
      </c>
      <c r="D6985" s="5" t="s">
        <v>12</v>
      </c>
      <c r="E6985" s="5" t="s">
        <v>3962</v>
      </c>
    </row>
    <row r="6986" spans="1:5" x14ac:dyDescent="0.25">
      <c r="A6986" s="5">
        <f>6978</f>
      </c>
      <c r="B6986" s="5" t="s">
        <v>6228</v>
      </c>
      <c r="C6986" s="5" t="s">
        <v>11</v>
      </c>
      <c r="D6986" s="5" t="s">
        <v>12</v>
      </c>
      <c r="E6986" s="5" t="s">
        <v>3962</v>
      </c>
    </row>
    <row r="6987" spans="1:5" x14ac:dyDescent="0.25">
      <c r="A6987" s="5">
        <f>6979</f>
      </c>
      <c r="B6987" s="5" t="s">
        <v>6229</v>
      </c>
      <c r="C6987" s="5" t="s">
        <v>11</v>
      </c>
      <c r="D6987" s="5" t="s">
        <v>12</v>
      </c>
      <c r="E6987" s="5" t="s">
        <v>3962</v>
      </c>
    </row>
    <row r="6988" spans="1:5" x14ac:dyDescent="0.25">
      <c r="A6988" s="5">
        <f>6980</f>
      </c>
      <c r="B6988" s="5" t="s">
        <v>6230</v>
      </c>
      <c r="C6988" s="5" t="s">
        <v>11</v>
      </c>
      <c r="D6988" s="5" t="s">
        <v>12</v>
      </c>
      <c r="E6988" s="5" t="s">
        <v>3962</v>
      </c>
    </row>
    <row r="6989" spans="1:5" x14ac:dyDescent="0.25">
      <c r="A6989" s="5">
        <f>6981</f>
      </c>
      <c r="B6989" s="5" t="s">
        <v>6231</v>
      </c>
      <c r="C6989" s="5" t="s">
        <v>11</v>
      </c>
      <c r="D6989" s="5" t="s">
        <v>12</v>
      </c>
      <c r="E6989" s="5" t="s">
        <v>3962</v>
      </c>
    </row>
    <row r="6990" spans="1:5" x14ac:dyDescent="0.25">
      <c r="A6990" s="5">
        <f>6982</f>
      </c>
      <c r="B6990" s="5" t="s">
        <v>6232</v>
      </c>
      <c r="C6990" s="5" t="s">
        <v>11</v>
      </c>
      <c r="D6990" s="5" t="s">
        <v>12</v>
      </c>
      <c r="E6990" s="5" t="s">
        <v>3962</v>
      </c>
    </row>
    <row r="6991" spans="1:5" x14ac:dyDescent="0.25">
      <c r="A6991" s="5">
        <f>6983</f>
      </c>
      <c r="B6991" s="5" t="s">
        <v>6233</v>
      </c>
      <c r="C6991" s="5" t="s">
        <v>11</v>
      </c>
      <c r="D6991" s="5" t="s">
        <v>12</v>
      </c>
      <c r="E6991" s="5" t="s">
        <v>3962</v>
      </c>
    </row>
    <row r="6992" spans="1:5" x14ac:dyDescent="0.25">
      <c r="A6992" s="5">
        <f>6984</f>
      </c>
      <c r="B6992" s="5" t="s">
        <v>6234</v>
      </c>
      <c r="C6992" s="5" t="s">
        <v>11</v>
      </c>
      <c r="D6992" s="5" t="s">
        <v>12</v>
      </c>
      <c r="E6992" s="5" t="s">
        <v>3962</v>
      </c>
    </row>
    <row r="6993" spans="1:5" x14ac:dyDescent="0.25">
      <c r="A6993" s="5">
        <f>6985</f>
      </c>
      <c r="B6993" s="5" t="s">
        <v>6235</v>
      </c>
      <c r="C6993" s="5" t="s">
        <v>11</v>
      </c>
      <c r="D6993" s="5" t="s">
        <v>12</v>
      </c>
      <c r="E6993" s="5" t="s">
        <v>3962</v>
      </c>
    </row>
    <row r="6994" spans="1:5" x14ac:dyDescent="0.25">
      <c r="A6994" s="5">
        <f>6986</f>
      </c>
      <c r="B6994" s="5" t="s">
        <v>6236</v>
      </c>
      <c r="C6994" s="5" t="s">
        <v>11</v>
      </c>
      <c r="D6994" s="5" t="s">
        <v>12</v>
      </c>
      <c r="E6994" s="5" t="s">
        <v>3962</v>
      </c>
    </row>
    <row r="6995" spans="1:5" x14ac:dyDescent="0.25">
      <c r="A6995" s="5">
        <f>6987</f>
      </c>
      <c r="B6995" s="5" t="s">
        <v>6237</v>
      </c>
      <c r="C6995" s="5" t="s">
        <v>11</v>
      </c>
      <c r="D6995" s="5" t="s">
        <v>12</v>
      </c>
      <c r="E6995" s="5" t="s">
        <v>3962</v>
      </c>
    </row>
    <row r="6996" spans="1:5" x14ac:dyDescent="0.25">
      <c r="A6996" s="5">
        <f>6988</f>
      </c>
      <c r="B6996" s="5" t="s">
        <v>6238</v>
      </c>
      <c r="C6996" s="5" t="s">
        <v>11</v>
      </c>
      <c r="D6996" s="5" t="s">
        <v>12</v>
      </c>
      <c r="E6996" s="5" t="s">
        <v>3962</v>
      </c>
    </row>
    <row r="6997" spans="1:5" x14ac:dyDescent="0.25">
      <c r="A6997" s="5">
        <f>6989</f>
      </c>
      <c r="B6997" s="5" t="s">
        <v>6239</v>
      </c>
      <c r="C6997" s="5" t="s">
        <v>11</v>
      </c>
      <c r="D6997" s="5" t="s">
        <v>12</v>
      </c>
      <c r="E6997" s="5" t="s">
        <v>3962</v>
      </c>
    </row>
    <row r="6998" spans="1:5" x14ac:dyDescent="0.25">
      <c r="A6998" s="5">
        <f>6990</f>
      </c>
      <c r="B6998" s="5" t="s">
        <v>6240</v>
      </c>
      <c r="C6998" s="5" t="s">
        <v>11</v>
      </c>
      <c r="D6998" s="5" t="s">
        <v>12</v>
      </c>
      <c r="E6998" s="5" t="s">
        <v>3962</v>
      </c>
    </row>
    <row r="6999" spans="1:5" x14ac:dyDescent="0.25">
      <c r="A6999" s="5">
        <f>6991</f>
      </c>
      <c r="B6999" s="5" t="s">
        <v>6241</v>
      </c>
      <c r="C6999" s="5" t="s">
        <v>11</v>
      </c>
      <c r="D6999" s="5" t="s">
        <v>12</v>
      </c>
      <c r="E6999" s="5" t="s">
        <v>3962</v>
      </c>
    </row>
    <row r="7000" spans="1:5" x14ac:dyDescent="0.25">
      <c r="A7000" s="5">
        <f>6992</f>
      </c>
      <c r="B7000" s="5" t="s">
        <v>6242</v>
      </c>
      <c r="C7000" s="5" t="s">
        <v>11</v>
      </c>
      <c r="D7000" s="5" t="s">
        <v>12</v>
      </c>
      <c r="E7000" s="5" t="s">
        <v>3962</v>
      </c>
    </row>
    <row r="7001" spans="1:5" x14ac:dyDescent="0.25">
      <c r="A7001" s="5">
        <f>6993</f>
      </c>
      <c r="B7001" s="5" t="s">
        <v>6243</v>
      </c>
      <c r="C7001" s="5" t="s">
        <v>11</v>
      </c>
      <c r="D7001" s="5" t="s">
        <v>12</v>
      </c>
      <c r="E7001" s="5" t="s">
        <v>3962</v>
      </c>
    </row>
    <row r="7002" spans="1:5" x14ac:dyDescent="0.25">
      <c r="A7002" s="5">
        <f>6994</f>
      </c>
      <c r="B7002" s="5" t="s">
        <v>6244</v>
      </c>
      <c r="C7002" s="5" t="s">
        <v>11</v>
      </c>
      <c r="D7002" s="5" t="s">
        <v>12</v>
      </c>
      <c r="E7002" s="5" t="s">
        <v>3962</v>
      </c>
    </row>
    <row r="7003" spans="1:5" x14ac:dyDescent="0.25">
      <c r="A7003" s="5">
        <f>6995</f>
      </c>
      <c r="B7003" s="5" t="s">
        <v>6245</v>
      </c>
      <c r="C7003" s="5" t="s">
        <v>11</v>
      </c>
      <c r="D7003" s="5" t="s">
        <v>12</v>
      </c>
      <c r="E7003" s="5" t="s">
        <v>3962</v>
      </c>
    </row>
    <row r="7004" spans="1:5" x14ac:dyDescent="0.25">
      <c r="A7004" s="5">
        <f>6996</f>
      </c>
      <c r="B7004" s="5" t="s">
        <v>6246</v>
      </c>
      <c r="C7004" s="5" t="s">
        <v>11</v>
      </c>
      <c r="D7004" s="5" t="s">
        <v>12</v>
      </c>
      <c r="E7004" s="5" t="s">
        <v>3962</v>
      </c>
    </row>
    <row r="7005" spans="1:5" x14ac:dyDescent="0.25">
      <c r="A7005" s="5">
        <f>6997</f>
      </c>
      <c r="B7005" s="5" t="s">
        <v>6247</v>
      </c>
      <c r="C7005" s="5" t="s">
        <v>11</v>
      </c>
      <c r="D7005" s="5" t="s">
        <v>12</v>
      </c>
      <c r="E7005" s="5" t="s">
        <v>3962</v>
      </c>
    </row>
    <row r="7006" spans="1:5" x14ac:dyDescent="0.25">
      <c r="A7006" s="5">
        <f>6998</f>
      </c>
      <c r="B7006" s="5" t="s">
        <v>6248</v>
      </c>
      <c r="C7006" s="5" t="s">
        <v>11</v>
      </c>
      <c r="D7006" s="5" t="s">
        <v>12</v>
      </c>
      <c r="E7006" s="5" t="s">
        <v>3962</v>
      </c>
    </row>
    <row r="7007" spans="1:5" x14ac:dyDescent="0.25">
      <c r="A7007" s="5">
        <f>6999</f>
      </c>
      <c r="B7007" s="5" t="s">
        <v>6249</v>
      </c>
      <c r="C7007" s="5" t="s">
        <v>11</v>
      </c>
      <c r="D7007" s="5" t="s">
        <v>12</v>
      </c>
      <c r="E7007" s="5" t="s">
        <v>3962</v>
      </c>
    </row>
    <row r="7008" spans="1:5" x14ac:dyDescent="0.25">
      <c r="A7008" s="5">
        <f>7000</f>
      </c>
      <c r="B7008" s="5" t="s">
        <v>6250</v>
      </c>
      <c r="C7008" s="5" t="s">
        <v>11</v>
      </c>
      <c r="D7008" s="5" t="s">
        <v>12</v>
      </c>
      <c r="E7008" s="5" t="s">
        <v>3962</v>
      </c>
    </row>
    <row r="7009" spans="1:5" x14ac:dyDescent="0.25">
      <c r="A7009" s="5">
        <f>7001</f>
      </c>
      <c r="B7009" s="5" t="s">
        <v>6251</v>
      </c>
      <c r="C7009" s="5" t="s">
        <v>11</v>
      </c>
      <c r="D7009" s="5" t="s">
        <v>12</v>
      </c>
      <c r="E7009" s="5" t="s">
        <v>3962</v>
      </c>
    </row>
    <row r="7010" spans="1:5" x14ac:dyDescent="0.25">
      <c r="A7010" s="5">
        <f>7002</f>
      </c>
      <c r="B7010" s="5" t="s">
        <v>6252</v>
      </c>
      <c r="C7010" s="5" t="s">
        <v>11</v>
      </c>
      <c r="D7010" s="5" t="s">
        <v>12</v>
      </c>
      <c r="E7010" s="5" t="s">
        <v>3962</v>
      </c>
    </row>
    <row r="7011" spans="1:5" x14ac:dyDescent="0.25">
      <c r="A7011" s="5">
        <f>7003</f>
      </c>
      <c r="B7011" s="5" t="s">
        <v>6253</v>
      </c>
      <c r="C7011" s="5" t="s">
        <v>11</v>
      </c>
      <c r="D7011" s="5" t="s">
        <v>12</v>
      </c>
      <c r="E7011" s="5" t="s">
        <v>3962</v>
      </c>
    </row>
    <row r="7012" spans="1:5" x14ac:dyDescent="0.25">
      <c r="A7012" s="5">
        <f>7004</f>
      </c>
      <c r="B7012" s="5" t="s">
        <v>6254</v>
      </c>
      <c r="C7012" s="5" t="s">
        <v>11</v>
      </c>
      <c r="D7012" s="5" t="s">
        <v>12</v>
      </c>
      <c r="E7012" s="5" t="s">
        <v>3962</v>
      </c>
    </row>
    <row r="7013" spans="1:5" x14ac:dyDescent="0.25">
      <c r="A7013" s="5">
        <f>7005</f>
      </c>
      <c r="B7013" s="5" t="s">
        <v>6255</v>
      </c>
      <c r="C7013" s="5" t="s">
        <v>11</v>
      </c>
      <c r="D7013" s="5" t="s">
        <v>12</v>
      </c>
      <c r="E7013" s="5" t="s">
        <v>3962</v>
      </c>
    </row>
    <row r="7014" spans="1:5" x14ac:dyDescent="0.25">
      <c r="A7014" s="5">
        <f>7006</f>
      </c>
      <c r="B7014" s="5" t="s">
        <v>6256</v>
      </c>
      <c r="C7014" s="5" t="s">
        <v>11</v>
      </c>
      <c r="D7014" s="5" t="s">
        <v>12</v>
      </c>
      <c r="E7014" s="5" t="s">
        <v>3962</v>
      </c>
    </row>
    <row r="7015" spans="1:5" x14ac:dyDescent="0.25">
      <c r="A7015" s="5">
        <f>7007</f>
      </c>
      <c r="B7015" s="5" t="s">
        <v>6257</v>
      </c>
      <c r="C7015" s="5" t="s">
        <v>11</v>
      </c>
      <c r="D7015" s="5" t="s">
        <v>12</v>
      </c>
      <c r="E7015" s="5" t="s">
        <v>3962</v>
      </c>
    </row>
    <row r="7016" spans="1:5" x14ac:dyDescent="0.25">
      <c r="A7016" s="5">
        <f>7008</f>
      </c>
      <c r="B7016" s="5" t="s">
        <v>6258</v>
      </c>
      <c r="C7016" s="5" t="s">
        <v>11</v>
      </c>
      <c r="D7016" s="5" t="s">
        <v>12</v>
      </c>
      <c r="E7016" s="5" t="s">
        <v>3962</v>
      </c>
    </row>
    <row r="7017" spans="1:5" x14ac:dyDescent="0.25">
      <c r="A7017" s="5">
        <f>7009</f>
      </c>
      <c r="B7017" s="5" t="s">
        <v>6259</v>
      </c>
      <c r="C7017" s="5" t="s">
        <v>11</v>
      </c>
      <c r="D7017" s="5" t="s">
        <v>12</v>
      </c>
      <c r="E7017" s="5" t="s">
        <v>3962</v>
      </c>
    </row>
    <row r="7018" spans="1:5" x14ac:dyDescent="0.25">
      <c r="A7018" s="5">
        <f>7010</f>
      </c>
      <c r="B7018" s="5" t="s">
        <v>6260</v>
      </c>
      <c r="C7018" s="5" t="s">
        <v>11</v>
      </c>
      <c r="D7018" s="5" t="s">
        <v>12</v>
      </c>
      <c r="E7018" s="5" t="s">
        <v>3962</v>
      </c>
    </row>
    <row r="7019" spans="1:5" x14ac:dyDescent="0.25">
      <c r="A7019" s="5">
        <f>7011</f>
      </c>
      <c r="B7019" s="5" t="s">
        <v>6261</v>
      </c>
      <c r="C7019" s="5" t="s">
        <v>11</v>
      </c>
      <c r="D7019" s="5" t="s">
        <v>12</v>
      </c>
      <c r="E7019" s="5" t="s">
        <v>3962</v>
      </c>
    </row>
    <row r="7020" spans="1:5" x14ac:dyDescent="0.25">
      <c r="A7020" s="5">
        <f>7012</f>
      </c>
      <c r="B7020" s="5" t="s">
        <v>6262</v>
      </c>
      <c r="C7020" s="5" t="s">
        <v>11</v>
      </c>
      <c r="D7020" s="5" t="s">
        <v>12</v>
      </c>
      <c r="E7020" s="5" t="s">
        <v>3962</v>
      </c>
    </row>
    <row r="7021" spans="1:5" x14ac:dyDescent="0.25">
      <c r="A7021" s="5">
        <f>7013</f>
      </c>
      <c r="B7021" s="5" t="s">
        <v>6263</v>
      </c>
      <c r="C7021" s="5" t="s">
        <v>11</v>
      </c>
      <c r="D7021" s="5" t="s">
        <v>12</v>
      </c>
      <c r="E7021" s="5" t="s">
        <v>3962</v>
      </c>
    </row>
    <row r="7022" spans="1:5" x14ac:dyDescent="0.25">
      <c r="A7022" s="5">
        <f>7014</f>
      </c>
      <c r="B7022" s="5" t="s">
        <v>6264</v>
      </c>
      <c r="C7022" s="5" t="s">
        <v>11</v>
      </c>
      <c r="D7022" s="5" t="s">
        <v>12</v>
      </c>
      <c r="E7022" s="5" t="s">
        <v>3962</v>
      </c>
    </row>
    <row r="7023" spans="1:5" x14ac:dyDescent="0.25">
      <c r="A7023" s="5">
        <f>7015</f>
      </c>
      <c r="B7023" s="5" t="s">
        <v>6265</v>
      </c>
      <c r="C7023" s="5" t="s">
        <v>11</v>
      </c>
      <c r="D7023" s="5" t="s">
        <v>12</v>
      </c>
      <c r="E7023" s="5" t="s">
        <v>3962</v>
      </c>
    </row>
    <row r="7024" spans="1:5" x14ac:dyDescent="0.25">
      <c r="A7024" s="5">
        <f>7016</f>
      </c>
      <c r="B7024" s="5" t="s">
        <v>6266</v>
      </c>
      <c r="C7024" s="5" t="s">
        <v>11</v>
      </c>
      <c r="D7024" s="5" t="s">
        <v>12</v>
      </c>
      <c r="E7024" s="5" t="s">
        <v>3962</v>
      </c>
    </row>
    <row r="7025" spans="1:5" x14ac:dyDescent="0.25">
      <c r="A7025" s="5">
        <f>7017</f>
      </c>
      <c r="B7025" s="5" t="s">
        <v>6267</v>
      </c>
      <c r="C7025" s="5" t="s">
        <v>11</v>
      </c>
      <c r="D7025" s="5" t="s">
        <v>12</v>
      </c>
      <c r="E7025" s="5" t="s">
        <v>3962</v>
      </c>
    </row>
    <row r="7026" spans="1:5" x14ac:dyDescent="0.25">
      <c r="A7026" s="5">
        <f>7018</f>
      </c>
      <c r="B7026" s="5" t="s">
        <v>6268</v>
      </c>
      <c r="C7026" s="5" t="s">
        <v>11</v>
      </c>
      <c r="D7026" s="5" t="s">
        <v>12</v>
      </c>
      <c r="E7026" s="5" t="s">
        <v>3962</v>
      </c>
    </row>
    <row r="7027" spans="1:5" x14ac:dyDescent="0.25">
      <c r="A7027" s="5">
        <f>7019</f>
      </c>
      <c r="B7027" s="5" t="s">
        <v>6269</v>
      </c>
      <c r="C7027" s="5" t="s">
        <v>11</v>
      </c>
      <c r="D7027" s="5" t="s">
        <v>12</v>
      </c>
      <c r="E7027" s="5" t="s">
        <v>3962</v>
      </c>
    </row>
    <row r="7028" spans="1:5" x14ac:dyDescent="0.25">
      <c r="A7028" s="5">
        <f>7020</f>
      </c>
      <c r="B7028" s="5" t="s">
        <v>6270</v>
      </c>
      <c r="C7028" s="5" t="s">
        <v>11</v>
      </c>
      <c r="D7028" s="5" t="s">
        <v>12</v>
      </c>
      <c r="E7028" s="5" t="s">
        <v>3962</v>
      </c>
    </row>
    <row r="7029" spans="1:5" x14ac:dyDescent="0.25">
      <c r="A7029" s="5">
        <f>7021</f>
      </c>
      <c r="B7029" s="5" t="s">
        <v>6271</v>
      </c>
      <c r="C7029" s="5" t="s">
        <v>11</v>
      </c>
      <c r="D7029" s="5" t="s">
        <v>12</v>
      </c>
      <c r="E7029" s="5" t="s">
        <v>3962</v>
      </c>
    </row>
    <row r="7030" spans="1:5" x14ac:dyDescent="0.25">
      <c r="A7030" s="5">
        <f>7022</f>
      </c>
      <c r="B7030" s="5" t="s">
        <v>6272</v>
      </c>
      <c r="C7030" s="5" t="s">
        <v>11</v>
      </c>
      <c r="D7030" s="5" t="s">
        <v>12</v>
      </c>
      <c r="E7030" s="5" t="s">
        <v>3962</v>
      </c>
    </row>
    <row r="7031" spans="1:5" x14ac:dyDescent="0.25">
      <c r="A7031" s="5">
        <f>7023</f>
      </c>
      <c r="B7031" s="5" t="s">
        <v>6273</v>
      </c>
      <c r="C7031" s="5" t="s">
        <v>11</v>
      </c>
      <c r="D7031" s="5" t="s">
        <v>12</v>
      </c>
      <c r="E7031" s="5" t="s">
        <v>3962</v>
      </c>
    </row>
    <row r="7032" spans="1:5" x14ac:dyDescent="0.25">
      <c r="A7032" s="5">
        <f>7024</f>
      </c>
      <c r="B7032" s="5" t="s">
        <v>6274</v>
      </c>
      <c r="C7032" s="5" t="s">
        <v>11</v>
      </c>
      <c r="D7032" s="5" t="s">
        <v>12</v>
      </c>
      <c r="E7032" s="5" t="s">
        <v>3962</v>
      </c>
    </row>
    <row r="7033" spans="1:5" x14ac:dyDescent="0.25">
      <c r="A7033" s="5">
        <f>7025</f>
      </c>
      <c r="B7033" s="5" t="s">
        <v>6275</v>
      </c>
      <c r="C7033" s="5" t="s">
        <v>11</v>
      </c>
      <c r="D7033" s="5" t="s">
        <v>12</v>
      </c>
      <c r="E7033" s="5" t="s">
        <v>3962</v>
      </c>
    </row>
    <row r="7034" spans="1:5" x14ac:dyDescent="0.25">
      <c r="A7034" s="5">
        <f>7026</f>
      </c>
      <c r="B7034" s="5" t="s">
        <v>6276</v>
      </c>
      <c r="C7034" s="5" t="s">
        <v>11</v>
      </c>
      <c r="D7034" s="5" t="s">
        <v>12</v>
      </c>
      <c r="E7034" s="5" t="s">
        <v>3962</v>
      </c>
    </row>
    <row r="7035" spans="1:5" x14ac:dyDescent="0.25">
      <c r="A7035" s="5">
        <f>7027</f>
      </c>
      <c r="B7035" s="5" t="s">
        <v>6277</v>
      </c>
      <c r="C7035" s="5" t="s">
        <v>11</v>
      </c>
      <c r="D7035" s="5" t="s">
        <v>12</v>
      </c>
      <c r="E7035" s="5" t="s">
        <v>3962</v>
      </c>
    </row>
    <row r="7036" spans="1:5" x14ac:dyDescent="0.25">
      <c r="A7036" s="5">
        <f>7028</f>
      </c>
      <c r="B7036" s="5" t="s">
        <v>6278</v>
      </c>
      <c r="C7036" s="5" t="s">
        <v>11</v>
      </c>
      <c r="D7036" s="5" t="s">
        <v>12</v>
      </c>
      <c r="E7036" s="5" t="s">
        <v>3962</v>
      </c>
    </row>
    <row r="7037" spans="1:5" x14ac:dyDescent="0.25">
      <c r="A7037" s="5">
        <f>7029</f>
      </c>
      <c r="B7037" s="5" t="s">
        <v>6279</v>
      </c>
      <c r="C7037" s="5" t="s">
        <v>11</v>
      </c>
      <c r="D7037" s="5" t="s">
        <v>12</v>
      </c>
      <c r="E7037" s="5" t="s">
        <v>3962</v>
      </c>
    </row>
    <row r="7038" spans="1:5" x14ac:dyDescent="0.25">
      <c r="A7038" s="5">
        <f>7030</f>
      </c>
      <c r="B7038" s="5" t="s">
        <v>6280</v>
      </c>
      <c r="C7038" s="5" t="s">
        <v>11</v>
      </c>
      <c r="D7038" s="5" t="s">
        <v>12</v>
      </c>
      <c r="E7038" s="5" t="s">
        <v>3962</v>
      </c>
    </row>
    <row r="7039" spans="1:5" x14ac:dyDescent="0.25">
      <c r="A7039" s="5">
        <f>7031</f>
      </c>
      <c r="B7039" s="5" t="s">
        <v>6281</v>
      </c>
      <c r="C7039" s="5" t="s">
        <v>11</v>
      </c>
      <c r="D7039" s="5" t="s">
        <v>12</v>
      </c>
      <c r="E7039" s="5" t="s">
        <v>3962</v>
      </c>
    </row>
    <row r="7040" spans="1:5" x14ac:dyDescent="0.25">
      <c r="A7040" s="5">
        <f>7032</f>
      </c>
      <c r="B7040" s="5" t="s">
        <v>6282</v>
      </c>
      <c r="C7040" s="5" t="s">
        <v>11</v>
      </c>
      <c r="D7040" s="5" t="s">
        <v>12</v>
      </c>
      <c r="E7040" s="5" t="s">
        <v>3962</v>
      </c>
    </row>
    <row r="7041" spans="1:5" x14ac:dyDescent="0.25">
      <c r="A7041" s="5">
        <f>7033</f>
      </c>
      <c r="B7041" s="5" t="s">
        <v>6283</v>
      </c>
      <c r="C7041" s="5" t="s">
        <v>11</v>
      </c>
      <c r="D7041" s="5" t="s">
        <v>12</v>
      </c>
      <c r="E7041" s="5" t="s">
        <v>3962</v>
      </c>
    </row>
    <row r="7042" spans="1:5" x14ac:dyDescent="0.25">
      <c r="A7042" s="5">
        <f>7034</f>
      </c>
      <c r="B7042" s="5" t="s">
        <v>6284</v>
      </c>
      <c r="C7042" s="5" t="s">
        <v>11</v>
      </c>
      <c r="D7042" s="5" t="s">
        <v>12</v>
      </c>
      <c r="E7042" s="5" t="s">
        <v>3962</v>
      </c>
    </row>
    <row r="7043" spans="1:5" x14ac:dyDescent="0.25">
      <c r="A7043" s="5">
        <f>7035</f>
      </c>
      <c r="B7043" s="5" t="s">
        <v>6285</v>
      </c>
      <c r="C7043" s="5" t="s">
        <v>11</v>
      </c>
      <c r="D7043" s="5" t="s">
        <v>12</v>
      </c>
      <c r="E7043" s="5" t="s">
        <v>3962</v>
      </c>
    </row>
    <row r="7044" spans="1:5" x14ac:dyDescent="0.25">
      <c r="A7044" s="5">
        <f>7036</f>
      </c>
      <c r="B7044" s="5" t="s">
        <v>6286</v>
      </c>
      <c r="C7044" s="5" t="s">
        <v>11</v>
      </c>
      <c r="D7044" s="5" t="s">
        <v>12</v>
      </c>
      <c r="E7044" s="5" t="s">
        <v>3962</v>
      </c>
    </row>
    <row r="7045" spans="1:5" x14ac:dyDescent="0.25">
      <c r="A7045" s="5">
        <f>7037</f>
      </c>
      <c r="B7045" s="5" t="s">
        <v>6287</v>
      </c>
      <c r="C7045" s="5" t="s">
        <v>11</v>
      </c>
      <c r="D7045" s="5" t="s">
        <v>12</v>
      </c>
      <c r="E7045" s="5" t="s">
        <v>3962</v>
      </c>
    </row>
    <row r="7046" spans="1:5" x14ac:dyDescent="0.25">
      <c r="A7046" s="5">
        <f>7038</f>
      </c>
      <c r="B7046" s="5" t="s">
        <v>6288</v>
      </c>
      <c r="C7046" s="5" t="s">
        <v>11</v>
      </c>
      <c r="D7046" s="5" t="s">
        <v>12</v>
      </c>
      <c r="E7046" s="5" t="s">
        <v>3962</v>
      </c>
    </row>
    <row r="7047" spans="1:5" x14ac:dyDescent="0.25">
      <c r="A7047" s="5">
        <f>7039</f>
      </c>
      <c r="B7047" s="5" t="s">
        <v>6289</v>
      </c>
      <c r="C7047" s="5" t="s">
        <v>11</v>
      </c>
      <c r="D7047" s="5" t="s">
        <v>12</v>
      </c>
      <c r="E7047" s="5" t="s">
        <v>3962</v>
      </c>
    </row>
    <row r="7048" spans="1:5" x14ac:dyDescent="0.25">
      <c r="A7048" s="5">
        <f>7040</f>
      </c>
      <c r="B7048" s="5" t="s">
        <v>6290</v>
      </c>
      <c r="C7048" s="5" t="s">
        <v>11</v>
      </c>
      <c r="D7048" s="5" t="s">
        <v>12</v>
      </c>
      <c r="E7048" s="5" t="s">
        <v>3962</v>
      </c>
    </row>
    <row r="7049" spans="1:5" x14ac:dyDescent="0.25">
      <c r="A7049" s="5">
        <f>7041</f>
      </c>
      <c r="B7049" s="5" t="s">
        <v>6291</v>
      </c>
      <c r="C7049" s="5" t="s">
        <v>11</v>
      </c>
      <c r="D7049" s="5" t="s">
        <v>12</v>
      </c>
      <c r="E7049" s="5" t="s">
        <v>3962</v>
      </c>
    </row>
    <row r="7050" spans="1:5" x14ac:dyDescent="0.25">
      <c r="A7050" s="5">
        <f>7042</f>
      </c>
      <c r="B7050" s="5" t="s">
        <v>6292</v>
      </c>
      <c r="C7050" s="5" t="s">
        <v>11</v>
      </c>
      <c r="D7050" s="5" t="s">
        <v>12</v>
      </c>
      <c r="E7050" s="5" t="s">
        <v>3962</v>
      </c>
    </row>
    <row r="7051" spans="1:5" x14ac:dyDescent="0.25">
      <c r="A7051" s="5">
        <f>7043</f>
      </c>
      <c r="B7051" s="5" t="s">
        <v>6293</v>
      </c>
      <c r="C7051" s="5" t="s">
        <v>11</v>
      </c>
      <c r="D7051" s="5" t="s">
        <v>12</v>
      </c>
      <c r="E7051" s="5" t="s">
        <v>3962</v>
      </c>
    </row>
    <row r="7052" spans="1:5" x14ac:dyDescent="0.25">
      <c r="A7052" s="5">
        <f>7044</f>
      </c>
      <c r="B7052" s="5" t="s">
        <v>6294</v>
      </c>
      <c r="C7052" s="5" t="s">
        <v>11</v>
      </c>
      <c r="D7052" s="5" t="s">
        <v>12</v>
      </c>
      <c r="E7052" s="5" t="s">
        <v>3962</v>
      </c>
    </row>
    <row r="7053" spans="1:5" x14ac:dyDescent="0.25">
      <c r="A7053" s="5">
        <f>7045</f>
      </c>
      <c r="B7053" s="5" t="s">
        <v>6295</v>
      </c>
      <c r="C7053" s="5" t="s">
        <v>11</v>
      </c>
      <c r="D7053" s="5" t="s">
        <v>12</v>
      </c>
      <c r="E7053" s="5" t="s">
        <v>3962</v>
      </c>
    </row>
    <row r="7054" spans="1:5" x14ac:dyDescent="0.25">
      <c r="A7054" s="5">
        <f>7046</f>
      </c>
      <c r="B7054" s="5" t="s">
        <v>6296</v>
      </c>
      <c r="C7054" s="5" t="s">
        <v>11</v>
      </c>
      <c r="D7054" s="5" t="s">
        <v>12</v>
      </c>
      <c r="E7054" s="5" t="s">
        <v>3962</v>
      </c>
    </row>
    <row r="7055" spans="1:5" x14ac:dyDescent="0.25">
      <c r="A7055" s="5">
        <f>7047</f>
      </c>
      <c r="B7055" s="5" t="s">
        <v>6297</v>
      </c>
      <c r="C7055" s="5" t="s">
        <v>11</v>
      </c>
      <c r="D7055" s="5" t="s">
        <v>12</v>
      </c>
      <c r="E7055" s="5" t="s">
        <v>3962</v>
      </c>
    </row>
    <row r="7056" spans="1:5" x14ac:dyDescent="0.25">
      <c r="A7056" s="5">
        <f>7048</f>
      </c>
      <c r="B7056" s="5" t="s">
        <v>6298</v>
      </c>
      <c r="C7056" s="5" t="s">
        <v>11</v>
      </c>
      <c r="D7056" s="5" t="s">
        <v>12</v>
      </c>
      <c r="E7056" s="5" t="s">
        <v>3962</v>
      </c>
    </row>
    <row r="7057" spans="1:5" x14ac:dyDescent="0.25">
      <c r="A7057" s="5">
        <f>7049</f>
      </c>
      <c r="B7057" s="5" t="s">
        <v>6299</v>
      </c>
      <c r="C7057" s="5" t="s">
        <v>11</v>
      </c>
      <c r="D7057" s="5" t="s">
        <v>12</v>
      </c>
      <c r="E7057" s="5" t="s">
        <v>3962</v>
      </c>
    </row>
    <row r="7058" spans="1:5" x14ac:dyDescent="0.25">
      <c r="A7058" s="5">
        <f>7050</f>
      </c>
      <c r="B7058" s="5" t="s">
        <v>6300</v>
      </c>
      <c r="C7058" s="5" t="s">
        <v>11</v>
      </c>
      <c r="D7058" s="5" t="s">
        <v>12</v>
      </c>
      <c r="E7058" s="5" t="s">
        <v>3962</v>
      </c>
    </row>
    <row r="7059" spans="1:5" x14ac:dyDescent="0.25">
      <c r="A7059" s="5">
        <f>7051</f>
      </c>
      <c r="B7059" s="5" t="s">
        <v>6301</v>
      </c>
      <c r="C7059" s="5" t="s">
        <v>11</v>
      </c>
      <c r="D7059" s="5" t="s">
        <v>12</v>
      </c>
      <c r="E7059" s="5" t="s">
        <v>3962</v>
      </c>
    </row>
    <row r="7060" spans="1:5" x14ac:dyDescent="0.25">
      <c r="A7060" s="5">
        <f>7052</f>
      </c>
      <c r="B7060" s="5" t="s">
        <v>6302</v>
      </c>
      <c r="C7060" s="5" t="s">
        <v>11</v>
      </c>
      <c r="D7060" s="5" t="s">
        <v>12</v>
      </c>
      <c r="E7060" s="5" t="s">
        <v>3962</v>
      </c>
    </row>
    <row r="7061" spans="1:5" x14ac:dyDescent="0.25">
      <c r="A7061" s="5">
        <f>7053</f>
      </c>
      <c r="B7061" s="5" t="s">
        <v>6303</v>
      </c>
      <c r="C7061" s="5" t="s">
        <v>11</v>
      </c>
      <c r="D7061" s="5" t="s">
        <v>12</v>
      </c>
      <c r="E7061" s="5" t="s">
        <v>3962</v>
      </c>
    </row>
    <row r="7062" spans="1:5" x14ac:dyDescent="0.25">
      <c r="A7062" s="5">
        <f>7054</f>
      </c>
      <c r="B7062" s="5" t="s">
        <v>6304</v>
      </c>
      <c r="C7062" s="5" t="s">
        <v>11</v>
      </c>
      <c r="D7062" s="5" t="s">
        <v>12</v>
      </c>
      <c r="E7062" s="5" t="s">
        <v>3962</v>
      </c>
    </row>
    <row r="7063" spans="1:5" x14ac:dyDescent="0.25">
      <c r="A7063" s="5">
        <f>7055</f>
      </c>
      <c r="B7063" s="5" t="s">
        <v>6305</v>
      </c>
      <c r="C7063" s="5" t="s">
        <v>11</v>
      </c>
      <c r="D7063" s="5" t="s">
        <v>12</v>
      </c>
      <c r="E7063" s="5" t="s">
        <v>3962</v>
      </c>
    </row>
    <row r="7064" spans="1:5" x14ac:dyDescent="0.25">
      <c r="A7064" s="5">
        <f>7056</f>
      </c>
      <c r="B7064" s="5" t="s">
        <v>6306</v>
      </c>
      <c r="C7064" s="5" t="s">
        <v>11</v>
      </c>
      <c r="D7064" s="5" t="s">
        <v>12</v>
      </c>
      <c r="E7064" s="5" t="s">
        <v>3962</v>
      </c>
    </row>
    <row r="7065" spans="1:5" x14ac:dyDescent="0.25">
      <c r="A7065" s="5">
        <f>7057</f>
      </c>
      <c r="B7065" s="5" t="s">
        <v>6307</v>
      </c>
      <c r="C7065" s="5" t="s">
        <v>11</v>
      </c>
      <c r="D7065" s="5" t="s">
        <v>12</v>
      </c>
      <c r="E7065" s="5" t="s">
        <v>3962</v>
      </c>
    </row>
    <row r="7066" spans="1:5" x14ac:dyDescent="0.25">
      <c r="A7066" s="5">
        <f>7058</f>
      </c>
      <c r="B7066" s="5" t="s">
        <v>6308</v>
      </c>
      <c r="C7066" s="5" t="s">
        <v>11</v>
      </c>
      <c r="D7066" s="5" t="s">
        <v>12</v>
      </c>
      <c r="E7066" s="5" t="s">
        <v>3962</v>
      </c>
    </row>
    <row r="7067" spans="1:5" x14ac:dyDescent="0.25">
      <c r="A7067" s="5">
        <f>7059</f>
      </c>
      <c r="B7067" s="5" t="s">
        <v>6309</v>
      </c>
      <c r="C7067" s="5" t="s">
        <v>11</v>
      </c>
      <c r="D7067" s="5" t="s">
        <v>12</v>
      </c>
      <c r="E7067" s="5" t="s">
        <v>3962</v>
      </c>
    </row>
    <row r="7068" spans="1:5" x14ac:dyDescent="0.25">
      <c r="A7068" s="5">
        <f>7060</f>
      </c>
      <c r="B7068" s="5" t="s">
        <v>6310</v>
      </c>
      <c r="C7068" s="5" t="s">
        <v>11</v>
      </c>
      <c r="D7068" s="5" t="s">
        <v>12</v>
      </c>
      <c r="E7068" s="5" t="s">
        <v>3962</v>
      </c>
    </row>
    <row r="7069" spans="1:5" x14ac:dyDescent="0.25">
      <c r="A7069" s="5">
        <f>7061</f>
      </c>
      <c r="B7069" s="5" t="s">
        <v>6311</v>
      </c>
      <c r="C7069" s="5" t="s">
        <v>11</v>
      </c>
      <c r="D7069" s="5" t="s">
        <v>12</v>
      </c>
      <c r="E7069" s="5" t="s">
        <v>3962</v>
      </c>
    </row>
    <row r="7070" spans="1:5" x14ac:dyDescent="0.25">
      <c r="A7070" s="5">
        <f>7062</f>
      </c>
      <c r="B7070" s="5" t="s">
        <v>6312</v>
      </c>
      <c r="C7070" s="5" t="s">
        <v>11</v>
      </c>
      <c r="D7070" s="5" t="s">
        <v>12</v>
      </c>
      <c r="E7070" s="5" t="s">
        <v>3962</v>
      </c>
    </row>
    <row r="7071" spans="1:5" x14ac:dyDescent="0.25">
      <c r="A7071" s="5">
        <f>7063</f>
      </c>
      <c r="B7071" s="5" t="s">
        <v>6313</v>
      </c>
      <c r="C7071" s="5" t="s">
        <v>11</v>
      </c>
      <c r="D7071" s="5" t="s">
        <v>12</v>
      </c>
      <c r="E7071" s="5" t="s">
        <v>3962</v>
      </c>
    </row>
    <row r="7072" spans="1:5" x14ac:dyDescent="0.25">
      <c r="A7072" s="5">
        <f>7064</f>
      </c>
      <c r="B7072" s="5" t="s">
        <v>6314</v>
      </c>
      <c r="C7072" s="5" t="s">
        <v>11</v>
      </c>
      <c r="D7072" s="5" t="s">
        <v>12</v>
      </c>
      <c r="E7072" s="5" t="s">
        <v>3962</v>
      </c>
    </row>
    <row r="7073" spans="1:5" x14ac:dyDescent="0.25">
      <c r="A7073" s="5">
        <f>7065</f>
      </c>
      <c r="B7073" s="5" t="s">
        <v>6315</v>
      </c>
      <c r="C7073" s="5" t="s">
        <v>11</v>
      </c>
      <c r="D7073" s="5" t="s">
        <v>12</v>
      </c>
      <c r="E7073" s="5" t="s">
        <v>3962</v>
      </c>
    </row>
    <row r="7074" spans="1:5" x14ac:dyDescent="0.25">
      <c r="A7074" s="5">
        <f>7066</f>
      </c>
      <c r="B7074" s="5" t="s">
        <v>6316</v>
      </c>
      <c r="C7074" s="5" t="s">
        <v>11</v>
      </c>
      <c r="D7074" s="5" t="s">
        <v>12</v>
      </c>
      <c r="E7074" s="5" t="s">
        <v>3962</v>
      </c>
    </row>
    <row r="7075" spans="1:5" x14ac:dyDescent="0.25">
      <c r="A7075" s="5">
        <f>7067</f>
      </c>
      <c r="B7075" s="5" t="s">
        <v>6317</v>
      </c>
      <c r="C7075" s="5" t="s">
        <v>11</v>
      </c>
      <c r="D7075" s="5" t="s">
        <v>12</v>
      </c>
      <c r="E7075" s="5" t="s">
        <v>3962</v>
      </c>
    </row>
    <row r="7076" spans="1:5" x14ac:dyDescent="0.25">
      <c r="A7076" s="5">
        <f>7068</f>
      </c>
      <c r="B7076" s="5" t="s">
        <v>6318</v>
      </c>
      <c r="C7076" s="5" t="s">
        <v>11</v>
      </c>
      <c r="D7076" s="5" t="s">
        <v>12</v>
      </c>
      <c r="E7076" s="5" t="s">
        <v>3962</v>
      </c>
    </row>
    <row r="7077" spans="1:5" x14ac:dyDescent="0.25">
      <c r="A7077" s="5">
        <f>7069</f>
      </c>
      <c r="B7077" s="5" t="s">
        <v>6319</v>
      </c>
      <c r="C7077" s="5" t="s">
        <v>11</v>
      </c>
      <c r="D7077" s="5" t="s">
        <v>12</v>
      </c>
      <c r="E7077" s="5" t="s">
        <v>3962</v>
      </c>
    </row>
    <row r="7078" spans="1:5" x14ac:dyDescent="0.25">
      <c r="A7078" s="5">
        <f>7070</f>
      </c>
      <c r="B7078" s="5" t="s">
        <v>6320</v>
      </c>
      <c r="C7078" s="5" t="s">
        <v>11</v>
      </c>
      <c r="D7078" s="5" t="s">
        <v>12</v>
      </c>
      <c r="E7078" s="5" t="s">
        <v>3962</v>
      </c>
    </row>
    <row r="7079" spans="1:5" x14ac:dyDescent="0.25">
      <c r="A7079" s="5">
        <f>7071</f>
      </c>
      <c r="B7079" s="5" t="s">
        <v>6321</v>
      </c>
      <c r="C7079" s="5" t="s">
        <v>11</v>
      </c>
      <c r="D7079" s="5" t="s">
        <v>12</v>
      </c>
      <c r="E7079" s="5" t="s">
        <v>3962</v>
      </c>
    </row>
    <row r="7080" spans="1:5" x14ac:dyDescent="0.25">
      <c r="A7080" s="5">
        <f>7072</f>
      </c>
      <c r="B7080" s="5" t="s">
        <v>6322</v>
      </c>
      <c r="C7080" s="5" t="s">
        <v>11</v>
      </c>
      <c r="D7080" s="5" t="s">
        <v>12</v>
      </c>
      <c r="E7080" s="5" t="s">
        <v>3962</v>
      </c>
    </row>
    <row r="7081" spans="1:5" x14ac:dyDescent="0.25">
      <c r="A7081" s="5">
        <f>7073</f>
      </c>
      <c r="B7081" s="5" t="s">
        <v>6323</v>
      </c>
      <c r="C7081" s="5" t="s">
        <v>11</v>
      </c>
      <c r="D7081" s="5" t="s">
        <v>12</v>
      </c>
      <c r="E7081" s="5" t="s">
        <v>3962</v>
      </c>
    </row>
    <row r="7082" spans="1:5" x14ac:dyDescent="0.25">
      <c r="A7082" s="5">
        <f>7074</f>
      </c>
      <c r="B7082" s="5" t="s">
        <v>6324</v>
      </c>
      <c r="C7082" s="5" t="s">
        <v>11</v>
      </c>
      <c r="D7082" s="5" t="s">
        <v>12</v>
      </c>
      <c r="E7082" s="5" t="s">
        <v>3962</v>
      </c>
    </row>
    <row r="7083" spans="1:5" x14ac:dyDescent="0.25">
      <c r="A7083" s="5">
        <f>7075</f>
      </c>
      <c r="B7083" s="5" t="s">
        <v>6325</v>
      </c>
      <c r="C7083" s="5" t="s">
        <v>11</v>
      </c>
      <c r="D7083" s="5" t="s">
        <v>12</v>
      </c>
      <c r="E7083" s="5" t="s">
        <v>3962</v>
      </c>
    </row>
    <row r="7084" spans="1:5" x14ac:dyDescent="0.25">
      <c r="A7084" s="5">
        <f>7076</f>
      </c>
      <c r="B7084" s="5" t="s">
        <v>6326</v>
      </c>
      <c r="C7084" s="5" t="s">
        <v>11</v>
      </c>
      <c r="D7084" s="5" t="s">
        <v>12</v>
      </c>
      <c r="E7084" s="5" t="s">
        <v>3962</v>
      </c>
    </row>
    <row r="7085" spans="1:5" x14ac:dyDescent="0.25">
      <c r="A7085" s="5">
        <f>7077</f>
      </c>
      <c r="B7085" s="5" t="s">
        <v>6327</v>
      </c>
      <c r="C7085" s="5" t="s">
        <v>11</v>
      </c>
      <c r="D7085" s="5" t="s">
        <v>12</v>
      </c>
      <c r="E7085" s="5" t="s">
        <v>3962</v>
      </c>
    </row>
    <row r="7086" spans="1:5" x14ac:dyDescent="0.25">
      <c r="A7086" s="5">
        <f>7078</f>
      </c>
      <c r="B7086" s="5" t="s">
        <v>6328</v>
      </c>
      <c r="C7086" s="5" t="s">
        <v>11</v>
      </c>
      <c r="D7086" s="5" t="s">
        <v>12</v>
      </c>
      <c r="E7086" s="5" t="s">
        <v>3962</v>
      </c>
    </row>
    <row r="7087" spans="1:5" x14ac:dyDescent="0.25">
      <c r="A7087" s="5">
        <f>7079</f>
      </c>
      <c r="B7087" s="5" t="s">
        <v>6329</v>
      </c>
      <c r="C7087" s="5" t="s">
        <v>11</v>
      </c>
      <c r="D7087" s="5" t="s">
        <v>12</v>
      </c>
      <c r="E7087" s="5" t="s">
        <v>3962</v>
      </c>
    </row>
    <row r="7088" spans="1:5" x14ac:dyDescent="0.25">
      <c r="A7088" s="5">
        <f>7080</f>
      </c>
      <c r="B7088" s="5" t="s">
        <v>6330</v>
      </c>
      <c r="C7088" s="5" t="s">
        <v>11</v>
      </c>
      <c r="D7088" s="5" t="s">
        <v>12</v>
      </c>
      <c r="E7088" s="5" t="s">
        <v>3962</v>
      </c>
    </row>
    <row r="7089" spans="1:5" x14ac:dyDescent="0.25">
      <c r="A7089" s="5">
        <f>7081</f>
      </c>
      <c r="B7089" s="5" t="s">
        <v>6331</v>
      </c>
      <c r="C7089" s="5" t="s">
        <v>11</v>
      </c>
      <c r="D7089" s="5" t="s">
        <v>12</v>
      </c>
      <c r="E7089" s="5" t="s">
        <v>3962</v>
      </c>
    </row>
    <row r="7090" spans="1:5" x14ac:dyDescent="0.25">
      <c r="A7090" s="5">
        <f>7082</f>
      </c>
      <c r="B7090" s="5" t="s">
        <v>6332</v>
      </c>
      <c r="C7090" s="5" t="s">
        <v>11</v>
      </c>
      <c r="D7090" s="5" t="s">
        <v>12</v>
      </c>
      <c r="E7090" s="5" t="s">
        <v>3962</v>
      </c>
    </row>
    <row r="7091" spans="1:5" x14ac:dyDescent="0.25">
      <c r="A7091" s="5">
        <f>7083</f>
      </c>
      <c r="B7091" s="5" t="s">
        <v>6333</v>
      </c>
      <c r="C7091" s="5" t="s">
        <v>11</v>
      </c>
      <c r="D7091" s="5" t="s">
        <v>12</v>
      </c>
      <c r="E7091" s="5" t="s">
        <v>3962</v>
      </c>
    </row>
    <row r="7092" spans="1:5" x14ac:dyDescent="0.25">
      <c r="A7092" s="5">
        <f>7084</f>
      </c>
      <c r="B7092" s="5" t="s">
        <v>6334</v>
      </c>
      <c r="C7092" s="5" t="s">
        <v>11</v>
      </c>
      <c r="D7092" s="5" t="s">
        <v>12</v>
      </c>
      <c r="E7092" s="5" t="s">
        <v>3962</v>
      </c>
    </row>
    <row r="7093" spans="1:5" x14ac:dyDescent="0.25">
      <c r="A7093" s="5">
        <f>7085</f>
      </c>
      <c r="B7093" s="5" t="s">
        <v>6335</v>
      </c>
      <c r="C7093" s="5" t="s">
        <v>11</v>
      </c>
      <c r="D7093" s="5" t="s">
        <v>12</v>
      </c>
      <c r="E7093" s="5" t="s">
        <v>3962</v>
      </c>
    </row>
    <row r="7094" spans="1:5" x14ac:dyDescent="0.25">
      <c r="A7094" s="5">
        <f>7086</f>
      </c>
      <c r="B7094" s="5" t="s">
        <v>6336</v>
      </c>
      <c r="C7094" s="5" t="s">
        <v>11</v>
      </c>
      <c r="D7094" s="5" t="s">
        <v>12</v>
      </c>
      <c r="E7094" s="5" t="s">
        <v>3962</v>
      </c>
    </row>
    <row r="7095" spans="1:5" x14ac:dyDescent="0.25">
      <c r="A7095" s="5">
        <f>7087</f>
      </c>
      <c r="B7095" s="5" t="s">
        <v>6337</v>
      </c>
      <c r="C7095" s="5" t="s">
        <v>11</v>
      </c>
      <c r="D7095" s="5" t="s">
        <v>12</v>
      </c>
      <c r="E7095" s="5" t="s">
        <v>3962</v>
      </c>
    </row>
    <row r="7096" spans="1:5" x14ac:dyDescent="0.25">
      <c r="A7096" s="5">
        <f>7088</f>
      </c>
      <c r="B7096" s="5" t="s">
        <v>6338</v>
      </c>
      <c r="C7096" s="5" t="s">
        <v>11</v>
      </c>
      <c r="D7096" s="5" t="s">
        <v>12</v>
      </c>
      <c r="E7096" s="5" t="s">
        <v>3962</v>
      </c>
    </row>
    <row r="7097" spans="1:5" x14ac:dyDescent="0.25">
      <c r="A7097" s="5">
        <f>7089</f>
      </c>
      <c r="B7097" s="5" t="s">
        <v>6339</v>
      </c>
      <c r="C7097" s="5" t="s">
        <v>11</v>
      </c>
      <c r="D7097" s="5" t="s">
        <v>12</v>
      </c>
      <c r="E7097" s="5" t="s">
        <v>3962</v>
      </c>
    </row>
    <row r="7098" spans="1:5" x14ac:dyDescent="0.25">
      <c r="A7098" s="5">
        <f>7090</f>
      </c>
      <c r="B7098" s="5" t="s">
        <v>6340</v>
      </c>
      <c r="C7098" s="5" t="s">
        <v>11</v>
      </c>
      <c r="D7098" s="5" t="s">
        <v>12</v>
      </c>
      <c r="E7098" s="5" t="s">
        <v>3962</v>
      </c>
    </row>
    <row r="7099" spans="1:5" x14ac:dyDescent="0.25">
      <c r="A7099" s="5">
        <f>7091</f>
      </c>
      <c r="B7099" s="5" t="s">
        <v>6341</v>
      </c>
      <c r="C7099" s="5" t="s">
        <v>11</v>
      </c>
      <c r="D7099" s="5" t="s">
        <v>12</v>
      </c>
      <c r="E7099" s="5" t="s">
        <v>3962</v>
      </c>
    </row>
    <row r="7100" spans="1:5" x14ac:dyDescent="0.25">
      <c r="A7100" s="5">
        <f>7092</f>
      </c>
      <c r="B7100" s="5" t="s">
        <v>6342</v>
      </c>
      <c r="C7100" s="5" t="s">
        <v>11</v>
      </c>
      <c r="D7100" s="5" t="s">
        <v>12</v>
      </c>
      <c r="E7100" s="5" t="s">
        <v>3962</v>
      </c>
    </row>
    <row r="7101" spans="1:5" x14ac:dyDescent="0.25">
      <c r="A7101" s="5">
        <f>7093</f>
      </c>
      <c r="B7101" s="5" t="s">
        <v>6343</v>
      </c>
      <c r="C7101" s="5" t="s">
        <v>11</v>
      </c>
      <c r="D7101" s="5" t="s">
        <v>12</v>
      </c>
      <c r="E7101" s="5" t="s">
        <v>3962</v>
      </c>
    </row>
    <row r="7102" spans="1:5" x14ac:dyDescent="0.25">
      <c r="A7102" s="5">
        <f>7094</f>
      </c>
      <c r="B7102" s="5" t="s">
        <v>6344</v>
      </c>
      <c r="C7102" s="5" t="s">
        <v>11</v>
      </c>
      <c r="D7102" s="5" t="s">
        <v>12</v>
      </c>
      <c r="E7102" s="5" t="s">
        <v>3962</v>
      </c>
    </row>
    <row r="7103" spans="1:5" x14ac:dyDescent="0.25">
      <c r="A7103" s="5">
        <f>7095</f>
      </c>
      <c r="B7103" s="5" t="s">
        <v>6345</v>
      </c>
      <c r="C7103" s="5" t="s">
        <v>11</v>
      </c>
      <c r="D7103" s="5" t="s">
        <v>12</v>
      </c>
      <c r="E7103" s="5" t="s">
        <v>3962</v>
      </c>
    </row>
    <row r="7104" spans="1:5" x14ac:dyDescent="0.25">
      <c r="A7104" s="5">
        <f>7096</f>
      </c>
      <c r="B7104" s="5" t="s">
        <v>6346</v>
      </c>
      <c r="C7104" s="5" t="s">
        <v>11</v>
      </c>
      <c r="D7104" s="5" t="s">
        <v>12</v>
      </c>
      <c r="E7104" s="5" t="s">
        <v>3962</v>
      </c>
    </row>
    <row r="7105" spans="1:5" x14ac:dyDescent="0.25">
      <c r="A7105" s="5">
        <f>7097</f>
      </c>
      <c r="B7105" s="5" t="s">
        <v>6347</v>
      </c>
      <c r="C7105" s="5" t="s">
        <v>11</v>
      </c>
      <c r="D7105" s="5" t="s">
        <v>12</v>
      </c>
      <c r="E7105" s="5" t="s">
        <v>3962</v>
      </c>
    </row>
    <row r="7106" spans="1:5" x14ac:dyDescent="0.25">
      <c r="A7106" s="5">
        <f>7098</f>
      </c>
      <c r="B7106" s="5" t="s">
        <v>6348</v>
      </c>
      <c r="C7106" s="5" t="s">
        <v>11</v>
      </c>
      <c r="D7106" s="5" t="s">
        <v>12</v>
      </c>
      <c r="E7106" s="5" t="s">
        <v>3962</v>
      </c>
    </row>
    <row r="7107" spans="1:5" x14ac:dyDescent="0.25">
      <c r="A7107" s="5">
        <f>7099</f>
      </c>
      <c r="B7107" s="5" t="s">
        <v>6349</v>
      </c>
      <c r="C7107" s="5" t="s">
        <v>11</v>
      </c>
      <c r="D7107" s="5" t="s">
        <v>12</v>
      </c>
      <c r="E7107" s="5" t="s">
        <v>3962</v>
      </c>
    </row>
    <row r="7108" spans="1:5" x14ac:dyDescent="0.25">
      <c r="A7108" s="5">
        <f>7100</f>
      </c>
      <c r="B7108" s="5" t="s">
        <v>6350</v>
      </c>
      <c r="C7108" s="5" t="s">
        <v>11</v>
      </c>
      <c r="D7108" s="5" t="s">
        <v>12</v>
      </c>
      <c r="E7108" s="5" t="s">
        <v>3962</v>
      </c>
    </row>
    <row r="7109" spans="1:5" x14ac:dyDescent="0.25">
      <c r="A7109" s="5">
        <f>7101</f>
      </c>
      <c r="B7109" s="5" t="s">
        <v>6351</v>
      </c>
      <c r="C7109" s="5" t="s">
        <v>11</v>
      </c>
      <c r="D7109" s="5" t="s">
        <v>12</v>
      </c>
      <c r="E7109" s="5" t="s">
        <v>3962</v>
      </c>
    </row>
    <row r="7110" spans="1:5" x14ac:dyDescent="0.25">
      <c r="A7110" s="5">
        <f>7102</f>
      </c>
      <c r="B7110" s="5" t="s">
        <v>6352</v>
      </c>
      <c r="C7110" s="5" t="s">
        <v>11</v>
      </c>
      <c r="D7110" s="5" t="s">
        <v>12</v>
      </c>
      <c r="E7110" s="5" t="s">
        <v>3962</v>
      </c>
    </row>
    <row r="7111" spans="1:5" x14ac:dyDescent="0.25">
      <c r="A7111" s="5">
        <f>7103</f>
      </c>
      <c r="B7111" s="5" t="s">
        <v>6353</v>
      </c>
      <c r="C7111" s="5" t="s">
        <v>11</v>
      </c>
      <c r="D7111" s="5" t="s">
        <v>12</v>
      </c>
      <c r="E7111" s="5" t="s">
        <v>3962</v>
      </c>
    </row>
    <row r="7112" spans="1:5" x14ac:dyDescent="0.25">
      <c r="A7112" s="5">
        <f>7104</f>
      </c>
      <c r="B7112" s="5" t="s">
        <v>6354</v>
      </c>
      <c r="C7112" s="5" t="s">
        <v>11</v>
      </c>
      <c r="D7112" s="5" t="s">
        <v>12</v>
      </c>
      <c r="E7112" s="5" t="s">
        <v>3962</v>
      </c>
    </row>
    <row r="7113" spans="1:5" x14ac:dyDescent="0.25">
      <c r="A7113" s="5">
        <f>7105</f>
      </c>
      <c r="B7113" s="5" t="s">
        <v>6355</v>
      </c>
      <c r="C7113" s="5" t="s">
        <v>11</v>
      </c>
      <c r="D7113" s="5" t="s">
        <v>12</v>
      </c>
      <c r="E7113" s="5" t="s">
        <v>3962</v>
      </c>
    </row>
    <row r="7114" spans="1:5" x14ac:dyDescent="0.25">
      <c r="A7114" s="5">
        <f>7106</f>
      </c>
      <c r="B7114" s="5" t="s">
        <v>6356</v>
      </c>
      <c r="C7114" s="5" t="s">
        <v>11</v>
      </c>
      <c r="D7114" s="5" t="s">
        <v>12</v>
      </c>
      <c r="E7114" s="5" t="s">
        <v>3962</v>
      </c>
    </row>
    <row r="7115" spans="1:5" x14ac:dyDescent="0.25">
      <c r="A7115" s="5">
        <f>7107</f>
      </c>
      <c r="B7115" s="5" t="s">
        <v>6357</v>
      </c>
      <c r="C7115" s="5" t="s">
        <v>11</v>
      </c>
      <c r="D7115" s="5" t="s">
        <v>12</v>
      </c>
      <c r="E7115" s="5" t="s">
        <v>3962</v>
      </c>
    </row>
    <row r="7116" spans="1:5" x14ac:dyDescent="0.25">
      <c r="A7116" s="5">
        <f>7108</f>
      </c>
      <c r="B7116" s="5" t="s">
        <v>6358</v>
      </c>
      <c r="C7116" s="5" t="s">
        <v>11</v>
      </c>
      <c r="D7116" s="5" t="s">
        <v>12</v>
      </c>
      <c r="E7116" s="5" t="s">
        <v>3962</v>
      </c>
    </row>
    <row r="7117" spans="1:5" x14ac:dyDescent="0.25">
      <c r="A7117" s="5">
        <f>7109</f>
      </c>
      <c r="B7117" s="5" t="s">
        <v>6359</v>
      </c>
      <c r="C7117" s="5" t="s">
        <v>11</v>
      </c>
      <c r="D7117" s="5" t="s">
        <v>12</v>
      </c>
      <c r="E7117" s="5" t="s">
        <v>3962</v>
      </c>
    </row>
    <row r="7118" spans="1:5" x14ac:dyDescent="0.25">
      <c r="A7118" s="5">
        <f>7110</f>
      </c>
      <c r="B7118" s="5" t="s">
        <v>6360</v>
      </c>
      <c r="C7118" s="5" t="s">
        <v>11</v>
      </c>
      <c r="D7118" s="5" t="s">
        <v>12</v>
      </c>
      <c r="E7118" s="5" t="s">
        <v>3962</v>
      </c>
    </row>
    <row r="7119" spans="1:5" x14ac:dyDescent="0.25">
      <c r="A7119" s="5">
        <f>7111</f>
      </c>
      <c r="B7119" s="5" t="s">
        <v>6361</v>
      </c>
      <c r="C7119" s="5" t="s">
        <v>11</v>
      </c>
      <c r="D7119" s="5" t="s">
        <v>12</v>
      </c>
      <c r="E7119" s="5" t="s">
        <v>3962</v>
      </c>
    </row>
    <row r="7120" spans="1:5" x14ac:dyDescent="0.25">
      <c r="A7120" s="5">
        <f>7112</f>
      </c>
      <c r="B7120" s="5" t="s">
        <v>6362</v>
      </c>
      <c r="C7120" s="5" t="s">
        <v>11</v>
      </c>
      <c r="D7120" s="5" t="s">
        <v>12</v>
      </c>
      <c r="E7120" s="5" t="s">
        <v>3962</v>
      </c>
    </row>
    <row r="7121" spans="1:5" x14ac:dyDescent="0.25">
      <c r="A7121" s="5">
        <f>7113</f>
      </c>
      <c r="B7121" s="5" t="s">
        <v>6363</v>
      </c>
      <c r="C7121" s="5" t="s">
        <v>11</v>
      </c>
      <c r="D7121" s="5" t="s">
        <v>12</v>
      </c>
      <c r="E7121" s="5" t="s">
        <v>3962</v>
      </c>
    </row>
    <row r="7122" spans="1:5" x14ac:dyDescent="0.25">
      <c r="A7122" s="5">
        <f>7114</f>
      </c>
      <c r="B7122" s="5" t="s">
        <v>6364</v>
      </c>
      <c r="C7122" s="5" t="s">
        <v>11</v>
      </c>
      <c r="D7122" s="5" t="s">
        <v>12</v>
      </c>
      <c r="E7122" s="5" t="s">
        <v>3962</v>
      </c>
    </row>
    <row r="7123" spans="1:5" x14ac:dyDescent="0.25">
      <c r="A7123" s="5">
        <f>7115</f>
      </c>
      <c r="B7123" s="5" t="s">
        <v>6365</v>
      </c>
      <c r="C7123" s="5" t="s">
        <v>11</v>
      </c>
      <c r="D7123" s="5" t="s">
        <v>12</v>
      </c>
      <c r="E7123" s="5" t="s">
        <v>3962</v>
      </c>
    </row>
    <row r="7124" spans="1:5" x14ac:dyDescent="0.25">
      <c r="A7124" s="5">
        <f>7116</f>
      </c>
      <c r="B7124" s="5" t="s">
        <v>6366</v>
      </c>
      <c r="C7124" s="5" t="s">
        <v>11</v>
      </c>
      <c r="D7124" s="5" t="s">
        <v>12</v>
      </c>
      <c r="E7124" s="5" t="s">
        <v>3962</v>
      </c>
    </row>
    <row r="7125" spans="1:5" x14ac:dyDescent="0.25">
      <c r="A7125" s="5">
        <f>7117</f>
      </c>
      <c r="B7125" s="5" t="s">
        <v>6367</v>
      </c>
      <c r="C7125" s="5" t="s">
        <v>11</v>
      </c>
      <c r="D7125" s="5" t="s">
        <v>12</v>
      </c>
      <c r="E7125" s="5" t="s">
        <v>3962</v>
      </c>
    </row>
    <row r="7126" spans="1:5" x14ac:dyDescent="0.25">
      <c r="A7126" s="5">
        <f>7118</f>
      </c>
      <c r="B7126" s="5" t="s">
        <v>6368</v>
      </c>
      <c r="C7126" s="5" t="s">
        <v>11</v>
      </c>
      <c r="D7126" s="5" t="s">
        <v>12</v>
      </c>
      <c r="E7126" s="5" t="s">
        <v>3962</v>
      </c>
    </row>
    <row r="7127" spans="1:5" x14ac:dyDescent="0.25">
      <c r="A7127" s="5">
        <f>7119</f>
      </c>
      <c r="B7127" s="5" t="s">
        <v>6369</v>
      </c>
      <c r="C7127" s="5" t="s">
        <v>11</v>
      </c>
      <c r="D7127" s="5" t="s">
        <v>12</v>
      </c>
      <c r="E7127" s="5" t="s">
        <v>3962</v>
      </c>
    </row>
    <row r="7128" spans="1:5" x14ac:dyDescent="0.25">
      <c r="A7128" s="5">
        <f>7120</f>
      </c>
      <c r="B7128" s="5" t="s">
        <v>6370</v>
      </c>
      <c r="C7128" s="5" t="s">
        <v>11</v>
      </c>
      <c r="D7128" s="5" t="s">
        <v>12</v>
      </c>
      <c r="E7128" s="5" t="s">
        <v>3962</v>
      </c>
    </row>
    <row r="7129" spans="1:5" x14ac:dyDescent="0.25">
      <c r="A7129" s="5">
        <f>7121</f>
      </c>
      <c r="B7129" s="5" t="s">
        <v>6371</v>
      </c>
      <c r="C7129" s="5" t="s">
        <v>11</v>
      </c>
      <c r="D7129" s="5" t="s">
        <v>12</v>
      </c>
      <c r="E7129" s="5" t="s">
        <v>3962</v>
      </c>
    </row>
    <row r="7130" spans="1:5" x14ac:dyDescent="0.25">
      <c r="A7130" s="5">
        <f>7122</f>
      </c>
      <c r="B7130" s="5" t="s">
        <v>6372</v>
      </c>
      <c r="C7130" s="5" t="s">
        <v>11</v>
      </c>
      <c r="D7130" s="5" t="s">
        <v>12</v>
      </c>
      <c r="E7130" s="5" t="s">
        <v>3962</v>
      </c>
    </row>
    <row r="7131" spans="1:5" x14ac:dyDescent="0.25">
      <c r="A7131" s="5">
        <f>7123</f>
      </c>
      <c r="B7131" s="5" t="s">
        <v>6373</v>
      </c>
      <c r="C7131" s="5" t="s">
        <v>11</v>
      </c>
      <c r="D7131" s="5" t="s">
        <v>12</v>
      </c>
      <c r="E7131" s="5" t="s">
        <v>3962</v>
      </c>
    </row>
    <row r="7132" spans="1:5" x14ac:dyDescent="0.25">
      <c r="A7132" s="5">
        <f>7124</f>
      </c>
      <c r="B7132" s="5" t="s">
        <v>6374</v>
      </c>
      <c r="C7132" s="5" t="s">
        <v>11</v>
      </c>
      <c r="D7132" s="5" t="s">
        <v>12</v>
      </c>
      <c r="E7132" s="5" t="s">
        <v>3962</v>
      </c>
    </row>
    <row r="7133" spans="1:5" x14ac:dyDescent="0.25">
      <c r="A7133" s="5">
        <f>7125</f>
      </c>
      <c r="B7133" s="5" t="s">
        <v>6375</v>
      </c>
      <c r="C7133" s="5" t="s">
        <v>11</v>
      </c>
      <c r="D7133" s="5" t="s">
        <v>12</v>
      </c>
      <c r="E7133" s="5" t="s">
        <v>3962</v>
      </c>
    </row>
    <row r="7134" spans="1:5" x14ac:dyDescent="0.25">
      <c r="A7134" s="5">
        <f>7126</f>
      </c>
      <c r="B7134" s="5" t="s">
        <v>6376</v>
      </c>
      <c r="C7134" s="5" t="s">
        <v>11</v>
      </c>
      <c r="D7134" s="5" t="s">
        <v>12</v>
      </c>
      <c r="E7134" s="5" t="s">
        <v>3962</v>
      </c>
    </row>
    <row r="7135" spans="1:5" x14ac:dyDescent="0.25">
      <c r="A7135" s="5">
        <f>7127</f>
      </c>
      <c r="B7135" s="5" t="s">
        <v>6377</v>
      </c>
      <c r="C7135" s="5" t="s">
        <v>11</v>
      </c>
      <c r="D7135" s="5" t="s">
        <v>12</v>
      </c>
      <c r="E7135" s="5" t="s">
        <v>3962</v>
      </c>
    </row>
    <row r="7136" spans="1:5" x14ac:dyDescent="0.25">
      <c r="A7136" s="5">
        <f>7128</f>
      </c>
      <c r="B7136" s="5" t="s">
        <v>6378</v>
      </c>
      <c r="C7136" s="5" t="s">
        <v>11</v>
      </c>
      <c r="D7136" s="5" t="s">
        <v>12</v>
      </c>
      <c r="E7136" s="5" t="s">
        <v>3962</v>
      </c>
    </row>
    <row r="7137" spans="1:5" x14ac:dyDescent="0.25">
      <c r="A7137" s="5">
        <f>7129</f>
      </c>
      <c r="B7137" s="5" t="s">
        <v>6379</v>
      </c>
      <c r="C7137" s="5" t="s">
        <v>11</v>
      </c>
      <c r="D7137" s="5" t="s">
        <v>12</v>
      </c>
      <c r="E7137" s="5" t="s">
        <v>3962</v>
      </c>
    </row>
    <row r="7138" spans="1:5" x14ac:dyDescent="0.25">
      <c r="A7138" s="5">
        <f>7130</f>
      </c>
      <c r="B7138" s="5" t="s">
        <v>6380</v>
      </c>
      <c r="C7138" s="5" t="s">
        <v>11</v>
      </c>
      <c r="D7138" s="5" t="s">
        <v>12</v>
      </c>
      <c r="E7138" s="5" t="s">
        <v>3962</v>
      </c>
    </row>
    <row r="7139" spans="1:5" x14ac:dyDescent="0.25">
      <c r="A7139" s="5">
        <f>7131</f>
      </c>
      <c r="B7139" s="5" t="s">
        <v>6381</v>
      </c>
      <c r="C7139" s="5" t="s">
        <v>11</v>
      </c>
      <c r="D7139" s="5" t="s">
        <v>12</v>
      </c>
      <c r="E7139" s="5" t="s">
        <v>3962</v>
      </c>
    </row>
    <row r="7140" spans="1:5" x14ac:dyDescent="0.25">
      <c r="A7140" s="5">
        <f>7132</f>
      </c>
      <c r="B7140" s="5" t="s">
        <v>6382</v>
      </c>
      <c r="C7140" s="5" t="s">
        <v>11</v>
      </c>
      <c r="D7140" s="5" t="s">
        <v>12</v>
      </c>
      <c r="E7140" s="5" t="s">
        <v>3962</v>
      </c>
    </row>
    <row r="7141" spans="1:5" x14ac:dyDescent="0.25">
      <c r="A7141" s="5">
        <f>7133</f>
      </c>
      <c r="B7141" s="5" t="s">
        <v>6383</v>
      </c>
      <c r="C7141" s="5" t="s">
        <v>11</v>
      </c>
      <c r="D7141" s="5" t="s">
        <v>12</v>
      </c>
      <c r="E7141" s="5" t="s">
        <v>3962</v>
      </c>
    </row>
    <row r="7142" spans="1:5" x14ac:dyDescent="0.25">
      <c r="A7142" s="5">
        <f>7134</f>
      </c>
      <c r="B7142" s="5" t="s">
        <v>6384</v>
      </c>
      <c r="C7142" s="5" t="s">
        <v>11</v>
      </c>
      <c r="D7142" s="5" t="s">
        <v>12</v>
      </c>
      <c r="E7142" s="5" t="s">
        <v>3962</v>
      </c>
    </row>
    <row r="7143" spans="1:5" x14ac:dyDescent="0.25">
      <c r="A7143" s="5">
        <f>7135</f>
      </c>
      <c r="B7143" s="5" t="s">
        <v>6385</v>
      </c>
      <c r="C7143" s="5" t="s">
        <v>11</v>
      </c>
      <c r="D7143" s="5" t="s">
        <v>12</v>
      </c>
      <c r="E7143" s="5" t="s">
        <v>3962</v>
      </c>
    </row>
    <row r="7144" spans="1:5" x14ac:dyDescent="0.25">
      <c r="A7144" s="5">
        <f>7136</f>
      </c>
      <c r="B7144" s="5" t="s">
        <v>6386</v>
      </c>
      <c r="C7144" s="5" t="s">
        <v>11</v>
      </c>
      <c r="D7144" s="5" t="s">
        <v>12</v>
      </c>
      <c r="E7144" s="5" t="s">
        <v>3962</v>
      </c>
    </row>
    <row r="7145" spans="1:5" x14ac:dyDescent="0.25">
      <c r="A7145" s="5">
        <f>7137</f>
      </c>
      <c r="B7145" s="5" t="s">
        <v>6387</v>
      </c>
      <c r="C7145" s="5" t="s">
        <v>11</v>
      </c>
      <c r="D7145" s="5" t="s">
        <v>12</v>
      </c>
      <c r="E7145" s="5" t="s">
        <v>3962</v>
      </c>
    </row>
    <row r="7146" spans="1:5" x14ac:dyDescent="0.25">
      <c r="A7146" s="5">
        <f>7138</f>
      </c>
      <c r="B7146" s="5" t="s">
        <v>6388</v>
      </c>
      <c r="C7146" s="5" t="s">
        <v>11</v>
      </c>
      <c r="D7146" s="5" t="s">
        <v>12</v>
      </c>
      <c r="E7146" s="5" t="s">
        <v>3962</v>
      </c>
    </row>
    <row r="7147" spans="1:5" x14ac:dyDescent="0.25">
      <c r="A7147" s="5">
        <f>7139</f>
      </c>
      <c r="B7147" s="5" t="s">
        <v>6389</v>
      </c>
      <c r="C7147" s="5" t="s">
        <v>11</v>
      </c>
      <c r="D7147" s="5" t="s">
        <v>12</v>
      </c>
      <c r="E7147" s="5" t="s">
        <v>3962</v>
      </c>
    </row>
    <row r="7148" spans="1:5" x14ac:dyDescent="0.25">
      <c r="A7148" s="5">
        <f>7140</f>
      </c>
      <c r="B7148" s="5" t="s">
        <v>6390</v>
      </c>
      <c r="C7148" s="5" t="s">
        <v>11</v>
      </c>
      <c r="D7148" s="5" t="s">
        <v>12</v>
      </c>
      <c r="E7148" s="5" t="s">
        <v>3962</v>
      </c>
    </row>
    <row r="7149" spans="1:5" x14ac:dyDescent="0.25">
      <c r="A7149" s="5">
        <f>7141</f>
      </c>
      <c r="B7149" s="5" t="s">
        <v>6391</v>
      </c>
      <c r="C7149" s="5" t="s">
        <v>11</v>
      </c>
      <c r="D7149" s="5" t="s">
        <v>12</v>
      </c>
      <c r="E7149" s="5" t="s">
        <v>3962</v>
      </c>
    </row>
    <row r="7150" spans="1:5" x14ac:dyDescent="0.25">
      <c r="A7150" s="5">
        <f>7142</f>
      </c>
      <c r="B7150" s="5" t="s">
        <v>6392</v>
      </c>
      <c r="C7150" s="5" t="s">
        <v>11</v>
      </c>
      <c r="D7150" s="5" t="s">
        <v>12</v>
      </c>
      <c r="E7150" s="5" t="s">
        <v>3962</v>
      </c>
    </row>
    <row r="7151" spans="1:5" x14ac:dyDescent="0.25">
      <c r="A7151" s="5">
        <f>7143</f>
      </c>
      <c r="B7151" s="5" t="s">
        <v>6393</v>
      </c>
      <c r="C7151" s="5" t="s">
        <v>11</v>
      </c>
      <c r="D7151" s="5" t="s">
        <v>12</v>
      </c>
      <c r="E7151" s="5" t="s">
        <v>3962</v>
      </c>
    </row>
    <row r="7152" spans="1:5" x14ac:dyDescent="0.25">
      <c r="A7152" s="5">
        <f>7144</f>
      </c>
      <c r="B7152" s="5" t="s">
        <v>6394</v>
      </c>
      <c r="C7152" s="5" t="s">
        <v>11</v>
      </c>
      <c r="D7152" s="5" t="s">
        <v>12</v>
      </c>
      <c r="E7152" s="5" t="s">
        <v>3962</v>
      </c>
    </row>
    <row r="7153" spans="1:5" x14ac:dyDescent="0.25">
      <c r="A7153" s="5">
        <f>7145</f>
      </c>
      <c r="B7153" s="5" t="s">
        <v>6395</v>
      </c>
      <c r="C7153" s="5" t="s">
        <v>11</v>
      </c>
      <c r="D7153" s="5" t="s">
        <v>12</v>
      </c>
      <c r="E7153" s="5" t="s">
        <v>3962</v>
      </c>
    </row>
    <row r="7154" spans="1:5" x14ac:dyDescent="0.25">
      <c r="A7154" s="5">
        <f>7146</f>
      </c>
      <c r="B7154" s="5" t="s">
        <v>6396</v>
      </c>
      <c r="C7154" s="5" t="s">
        <v>11</v>
      </c>
      <c r="D7154" s="5" t="s">
        <v>12</v>
      </c>
      <c r="E7154" s="5" t="s">
        <v>3962</v>
      </c>
    </row>
    <row r="7155" spans="1:5" x14ac:dyDescent="0.25">
      <c r="A7155" s="5">
        <f>7147</f>
      </c>
      <c r="B7155" s="5" t="s">
        <v>6397</v>
      </c>
      <c r="C7155" s="5" t="s">
        <v>11</v>
      </c>
      <c r="D7155" s="5" t="s">
        <v>12</v>
      </c>
      <c r="E7155" s="5" t="s">
        <v>3962</v>
      </c>
    </row>
    <row r="7156" spans="1:5" x14ac:dyDescent="0.25">
      <c r="A7156" s="5">
        <f>7148</f>
      </c>
      <c r="B7156" s="5" t="s">
        <v>6398</v>
      </c>
      <c r="C7156" s="5" t="s">
        <v>11</v>
      </c>
      <c r="D7156" s="5" t="s">
        <v>12</v>
      </c>
      <c r="E7156" s="5" t="s">
        <v>3962</v>
      </c>
    </row>
    <row r="7157" spans="1:5" x14ac:dyDescent="0.25">
      <c r="A7157" s="5">
        <f>7149</f>
      </c>
      <c r="B7157" s="5" t="s">
        <v>6399</v>
      </c>
      <c r="C7157" s="5" t="s">
        <v>11</v>
      </c>
      <c r="D7157" s="5" t="s">
        <v>12</v>
      </c>
      <c r="E7157" s="5" t="s">
        <v>3962</v>
      </c>
    </row>
    <row r="7158" spans="1:5" x14ac:dyDescent="0.25">
      <c r="A7158" s="5">
        <f>7150</f>
      </c>
      <c r="B7158" s="5" t="s">
        <v>6400</v>
      </c>
      <c r="C7158" s="5" t="s">
        <v>11</v>
      </c>
      <c r="D7158" s="5" t="s">
        <v>12</v>
      </c>
      <c r="E7158" s="5" t="s">
        <v>3962</v>
      </c>
    </row>
    <row r="7159" spans="1:5" x14ac:dyDescent="0.25">
      <c r="A7159" s="5">
        <f>7151</f>
      </c>
      <c r="B7159" s="5" t="s">
        <v>6401</v>
      </c>
      <c r="C7159" s="5" t="s">
        <v>11</v>
      </c>
      <c r="D7159" s="5" t="s">
        <v>12</v>
      </c>
      <c r="E7159" s="5" t="s">
        <v>3962</v>
      </c>
    </row>
    <row r="7160" spans="1:5" x14ac:dyDescent="0.25">
      <c r="A7160" s="5">
        <f>7152</f>
      </c>
      <c r="B7160" s="5" t="s">
        <v>6402</v>
      </c>
      <c r="C7160" s="5" t="s">
        <v>11</v>
      </c>
      <c r="D7160" s="5" t="s">
        <v>12</v>
      </c>
      <c r="E7160" s="5" t="s">
        <v>3962</v>
      </c>
    </row>
    <row r="7161" spans="1:5" x14ac:dyDescent="0.25">
      <c r="A7161" s="5">
        <f>7153</f>
      </c>
      <c r="B7161" s="5" t="s">
        <v>6403</v>
      </c>
      <c r="C7161" s="5" t="s">
        <v>11</v>
      </c>
      <c r="D7161" s="5" t="s">
        <v>12</v>
      </c>
      <c r="E7161" s="5" t="s">
        <v>3962</v>
      </c>
    </row>
    <row r="7162" spans="1:5" x14ac:dyDescent="0.25">
      <c r="A7162" s="5">
        <f>7154</f>
      </c>
      <c r="B7162" s="5" t="s">
        <v>6404</v>
      </c>
      <c r="C7162" s="5" t="s">
        <v>11</v>
      </c>
      <c r="D7162" s="5" t="s">
        <v>12</v>
      </c>
      <c r="E7162" s="5" t="s">
        <v>3962</v>
      </c>
    </row>
    <row r="7163" spans="1:5" x14ac:dyDescent="0.25">
      <c r="A7163" s="5">
        <f>7155</f>
      </c>
      <c r="B7163" s="5" t="s">
        <v>6405</v>
      </c>
      <c r="C7163" s="5" t="s">
        <v>11</v>
      </c>
      <c r="D7163" s="5" t="s">
        <v>12</v>
      </c>
      <c r="E7163" s="5" t="s">
        <v>3962</v>
      </c>
    </row>
    <row r="7164" spans="1:5" x14ac:dyDescent="0.25">
      <c r="A7164" s="5">
        <f>7156</f>
      </c>
      <c r="B7164" s="5" t="s">
        <v>6406</v>
      </c>
      <c r="C7164" s="5" t="s">
        <v>11</v>
      </c>
      <c r="D7164" s="5" t="s">
        <v>12</v>
      </c>
      <c r="E7164" s="5" t="s">
        <v>3962</v>
      </c>
    </row>
    <row r="7165" spans="1:5" x14ac:dyDescent="0.25">
      <c r="A7165" s="5">
        <f>7157</f>
      </c>
      <c r="B7165" s="5" t="s">
        <v>6407</v>
      </c>
      <c r="C7165" s="5" t="s">
        <v>11</v>
      </c>
      <c r="D7165" s="5" t="s">
        <v>12</v>
      </c>
      <c r="E7165" s="5" t="s">
        <v>3962</v>
      </c>
    </row>
    <row r="7166" spans="1:5" x14ac:dyDescent="0.25">
      <c r="A7166" s="5">
        <f>7158</f>
      </c>
      <c r="B7166" s="5" t="s">
        <v>6408</v>
      </c>
      <c r="C7166" s="5" t="s">
        <v>11</v>
      </c>
      <c r="D7166" s="5" t="s">
        <v>12</v>
      </c>
      <c r="E7166" s="5" t="s">
        <v>3962</v>
      </c>
    </row>
    <row r="7167" spans="1:5" x14ac:dyDescent="0.25">
      <c r="A7167" s="5">
        <f>7159</f>
      </c>
      <c r="B7167" s="5" t="s">
        <v>6409</v>
      </c>
      <c r="C7167" s="5" t="s">
        <v>11</v>
      </c>
      <c r="D7167" s="5" t="s">
        <v>12</v>
      </c>
      <c r="E7167" s="5" t="s">
        <v>3962</v>
      </c>
    </row>
    <row r="7168" spans="1:5" x14ac:dyDescent="0.25">
      <c r="A7168" s="5">
        <f>7160</f>
      </c>
      <c r="B7168" s="5" t="s">
        <v>6410</v>
      </c>
      <c r="C7168" s="5" t="s">
        <v>11</v>
      </c>
      <c r="D7168" s="5" t="s">
        <v>12</v>
      </c>
      <c r="E7168" s="5" t="s">
        <v>3962</v>
      </c>
    </row>
    <row r="7169" spans="1:5" x14ac:dyDescent="0.25">
      <c r="A7169" s="5">
        <f>7161</f>
      </c>
      <c r="B7169" s="5" t="s">
        <v>6411</v>
      </c>
      <c r="C7169" s="5" t="s">
        <v>11</v>
      </c>
      <c r="D7169" s="5" t="s">
        <v>12</v>
      </c>
      <c r="E7169" s="5" t="s">
        <v>3962</v>
      </c>
    </row>
    <row r="7170" spans="1:5" x14ac:dyDescent="0.25">
      <c r="A7170" s="5">
        <f>7162</f>
      </c>
      <c r="B7170" s="5" t="s">
        <v>6412</v>
      </c>
      <c r="C7170" s="5" t="s">
        <v>11</v>
      </c>
      <c r="D7170" s="5" t="s">
        <v>12</v>
      </c>
      <c r="E7170" s="5" t="s">
        <v>3962</v>
      </c>
    </row>
    <row r="7171" spans="1:5" x14ac:dyDescent="0.25">
      <c r="A7171" s="5">
        <f>7163</f>
      </c>
      <c r="B7171" s="5" t="s">
        <v>6413</v>
      </c>
      <c r="C7171" s="5" t="s">
        <v>11</v>
      </c>
      <c r="D7171" s="5" t="s">
        <v>12</v>
      </c>
      <c r="E7171" s="5" t="s">
        <v>3962</v>
      </c>
    </row>
    <row r="7172" spans="1:5" x14ac:dyDescent="0.25">
      <c r="A7172" s="5">
        <f>7164</f>
      </c>
      <c r="B7172" s="5" t="s">
        <v>6414</v>
      </c>
      <c r="C7172" s="5" t="s">
        <v>11</v>
      </c>
      <c r="D7172" s="5" t="s">
        <v>12</v>
      </c>
      <c r="E7172" s="5" t="s">
        <v>3962</v>
      </c>
    </row>
    <row r="7173" spans="1:5" x14ac:dyDescent="0.25">
      <c r="A7173" s="5">
        <f>7165</f>
      </c>
      <c r="B7173" s="5" t="s">
        <v>6415</v>
      </c>
      <c r="C7173" s="5" t="s">
        <v>11</v>
      </c>
      <c r="D7173" s="5" t="s">
        <v>12</v>
      </c>
      <c r="E7173" s="5" t="s">
        <v>3962</v>
      </c>
    </row>
    <row r="7174" spans="1:5" x14ac:dyDescent="0.25">
      <c r="A7174" s="5">
        <f>7166</f>
      </c>
      <c r="B7174" s="5" t="s">
        <v>6416</v>
      </c>
      <c r="C7174" s="5" t="s">
        <v>11</v>
      </c>
      <c r="D7174" s="5" t="s">
        <v>12</v>
      </c>
      <c r="E7174" s="5" t="s">
        <v>3962</v>
      </c>
    </row>
    <row r="7175" spans="1:5" x14ac:dyDescent="0.25">
      <c r="A7175" s="5">
        <f>7167</f>
      </c>
      <c r="B7175" s="5" t="s">
        <v>6417</v>
      </c>
      <c r="C7175" s="5" t="s">
        <v>11</v>
      </c>
      <c r="D7175" s="5" t="s">
        <v>12</v>
      </c>
      <c r="E7175" s="5" t="s">
        <v>3962</v>
      </c>
    </row>
    <row r="7176" spans="1:5" x14ac:dyDescent="0.25">
      <c r="A7176" s="5">
        <f>7168</f>
      </c>
      <c r="B7176" s="5" t="s">
        <v>6418</v>
      </c>
      <c r="C7176" s="5" t="s">
        <v>11</v>
      </c>
      <c r="D7176" s="5" t="s">
        <v>12</v>
      </c>
      <c r="E7176" s="5" t="s">
        <v>3962</v>
      </c>
    </row>
    <row r="7177" spans="1:5" x14ac:dyDescent="0.25">
      <c r="A7177" s="5">
        <f>7169</f>
      </c>
      <c r="B7177" s="5" t="s">
        <v>6419</v>
      </c>
      <c r="C7177" s="5" t="s">
        <v>11</v>
      </c>
      <c r="D7177" s="5" t="s">
        <v>12</v>
      </c>
      <c r="E7177" s="5" t="s">
        <v>3962</v>
      </c>
    </row>
    <row r="7178" spans="1:5" x14ac:dyDescent="0.25">
      <c r="A7178" s="5">
        <f>7170</f>
      </c>
      <c r="B7178" s="5" t="s">
        <v>6420</v>
      </c>
      <c r="C7178" s="5" t="s">
        <v>11</v>
      </c>
      <c r="D7178" s="5" t="s">
        <v>12</v>
      </c>
      <c r="E7178" s="5" t="s">
        <v>3962</v>
      </c>
    </row>
    <row r="7179" spans="1:5" x14ac:dyDescent="0.25">
      <c r="A7179" s="5">
        <f>7171</f>
      </c>
      <c r="B7179" s="5" t="s">
        <v>6421</v>
      </c>
      <c r="C7179" s="5" t="s">
        <v>11</v>
      </c>
      <c r="D7179" s="5" t="s">
        <v>12</v>
      </c>
      <c r="E7179" s="5" t="s">
        <v>3962</v>
      </c>
    </row>
    <row r="7180" spans="1:5" x14ac:dyDescent="0.25">
      <c r="A7180" s="5">
        <f>7172</f>
      </c>
      <c r="B7180" s="5" t="s">
        <v>6422</v>
      </c>
      <c r="C7180" s="5" t="s">
        <v>11</v>
      </c>
      <c r="D7180" s="5" t="s">
        <v>12</v>
      </c>
      <c r="E7180" s="5" t="s">
        <v>3962</v>
      </c>
    </row>
    <row r="7181" spans="1:5" x14ac:dyDescent="0.25">
      <c r="A7181" s="5">
        <f>7173</f>
      </c>
      <c r="B7181" s="5" t="s">
        <v>6423</v>
      </c>
      <c r="C7181" s="5" t="s">
        <v>11</v>
      </c>
      <c r="D7181" s="5" t="s">
        <v>12</v>
      </c>
      <c r="E7181" s="5" t="s">
        <v>3962</v>
      </c>
    </row>
    <row r="7182" spans="1:5" x14ac:dyDescent="0.25">
      <c r="A7182" s="5">
        <f>7174</f>
      </c>
      <c r="B7182" s="5" t="s">
        <v>6424</v>
      </c>
      <c r="C7182" s="5" t="s">
        <v>11</v>
      </c>
      <c r="D7182" s="5" t="s">
        <v>12</v>
      </c>
      <c r="E7182" s="5" t="s">
        <v>3962</v>
      </c>
    </row>
    <row r="7183" spans="1:5" x14ac:dyDescent="0.25">
      <c r="A7183" s="5">
        <f>7175</f>
      </c>
      <c r="B7183" s="5" t="s">
        <v>6425</v>
      </c>
      <c r="C7183" s="5" t="s">
        <v>11</v>
      </c>
      <c r="D7183" s="5" t="s">
        <v>12</v>
      </c>
      <c r="E7183" s="5" t="s">
        <v>3962</v>
      </c>
    </row>
    <row r="7184" spans="1:5" x14ac:dyDescent="0.25">
      <c r="A7184" s="5">
        <f>7176</f>
      </c>
      <c r="B7184" s="5" t="s">
        <v>6426</v>
      </c>
      <c r="C7184" s="5" t="s">
        <v>11</v>
      </c>
      <c r="D7184" s="5" t="s">
        <v>12</v>
      </c>
      <c r="E7184" s="5" t="s">
        <v>3962</v>
      </c>
    </row>
    <row r="7185" spans="1:5" x14ac:dyDescent="0.25">
      <c r="A7185" s="5">
        <f>7177</f>
      </c>
      <c r="B7185" s="5" t="s">
        <v>6427</v>
      </c>
      <c r="C7185" s="5" t="s">
        <v>11</v>
      </c>
      <c r="D7185" s="5" t="s">
        <v>12</v>
      </c>
      <c r="E7185" s="5" t="s">
        <v>3962</v>
      </c>
    </row>
    <row r="7186" spans="1:5" x14ac:dyDescent="0.25">
      <c r="A7186" s="5">
        <f>7178</f>
      </c>
      <c r="B7186" s="5" t="s">
        <v>6428</v>
      </c>
      <c r="C7186" s="5" t="s">
        <v>11</v>
      </c>
      <c r="D7186" s="5" t="s">
        <v>12</v>
      </c>
      <c r="E7186" s="5" t="s">
        <v>3962</v>
      </c>
    </row>
    <row r="7187" spans="1:5" x14ac:dyDescent="0.25">
      <c r="A7187" s="5">
        <f>7179</f>
      </c>
      <c r="B7187" s="5" t="s">
        <v>6429</v>
      </c>
      <c r="C7187" s="5" t="s">
        <v>11</v>
      </c>
      <c r="D7187" s="5" t="s">
        <v>12</v>
      </c>
      <c r="E7187" s="5" t="s">
        <v>3962</v>
      </c>
    </row>
    <row r="7188" spans="1:5" x14ac:dyDescent="0.25">
      <c r="A7188" s="5">
        <f>7180</f>
      </c>
      <c r="B7188" s="5" t="s">
        <v>6430</v>
      </c>
      <c r="C7188" s="5" t="s">
        <v>11</v>
      </c>
      <c r="D7188" s="5" t="s">
        <v>12</v>
      </c>
      <c r="E7188" s="5" t="s">
        <v>3962</v>
      </c>
    </row>
    <row r="7189" spans="1:5" x14ac:dyDescent="0.25">
      <c r="A7189" s="5">
        <f>7181</f>
      </c>
      <c r="B7189" s="5" t="s">
        <v>6431</v>
      </c>
      <c r="C7189" s="5" t="s">
        <v>11</v>
      </c>
      <c r="D7189" s="5" t="s">
        <v>12</v>
      </c>
      <c r="E7189" s="5" t="s">
        <v>3962</v>
      </c>
    </row>
    <row r="7190" spans="1:5" x14ac:dyDescent="0.25">
      <c r="A7190" s="5">
        <f>7182</f>
      </c>
      <c r="B7190" s="5" t="s">
        <v>6432</v>
      </c>
      <c r="C7190" s="5" t="s">
        <v>11</v>
      </c>
      <c r="D7190" s="5" t="s">
        <v>12</v>
      </c>
      <c r="E7190" s="5" t="s">
        <v>3962</v>
      </c>
    </row>
    <row r="7191" spans="1:5" x14ac:dyDescent="0.25">
      <c r="A7191" s="5">
        <f>7183</f>
      </c>
      <c r="B7191" s="5" t="s">
        <v>6433</v>
      </c>
      <c r="C7191" s="5" t="s">
        <v>11</v>
      </c>
      <c r="D7191" s="5" t="s">
        <v>12</v>
      </c>
      <c r="E7191" s="5" t="s">
        <v>3962</v>
      </c>
    </row>
    <row r="7192" spans="1:5" x14ac:dyDescent="0.25">
      <c r="A7192" s="5">
        <f>7184</f>
      </c>
      <c r="B7192" s="5" t="s">
        <v>6434</v>
      </c>
      <c r="C7192" s="5" t="s">
        <v>11</v>
      </c>
      <c r="D7192" s="5" t="s">
        <v>12</v>
      </c>
      <c r="E7192" s="5" t="s">
        <v>3962</v>
      </c>
    </row>
    <row r="7193" spans="1:5" x14ac:dyDescent="0.25">
      <c r="A7193" s="5">
        <f>7185</f>
      </c>
      <c r="B7193" s="5" t="s">
        <v>6435</v>
      </c>
      <c r="C7193" s="5" t="s">
        <v>11</v>
      </c>
      <c r="D7193" s="5" t="s">
        <v>12</v>
      </c>
      <c r="E7193" s="5" t="s">
        <v>3962</v>
      </c>
    </row>
    <row r="7194" spans="1:5" x14ac:dyDescent="0.25">
      <c r="A7194" s="5">
        <f>7186</f>
      </c>
      <c r="B7194" s="5" t="s">
        <v>6436</v>
      </c>
      <c r="C7194" s="5" t="s">
        <v>11</v>
      </c>
      <c r="D7194" s="5" t="s">
        <v>12</v>
      </c>
      <c r="E7194" s="5" t="s">
        <v>3962</v>
      </c>
    </row>
    <row r="7195" spans="1:5" x14ac:dyDescent="0.25">
      <c r="A7195" s="5">
        <f>7187</f>
      </c>
      <c r="B7195" s="5" t="s">
        <v>6437</v>
      </c>
      <c r="C7195" s="5" t="s">
        <v>11</v>
      </c>
      <c r="D7195" s="5" t="s">
        <v>12</v>
      </c>
      <c r="E7195" s="5" t="s">
        <v>3962</v>
      </c>
    </row>
    <row r="7196" spans="1:5" x14ac:dyDescent="0.25">
      <c r="A7196" s="5">
        <f>7188</f>
      </c>
      <c r="B7196" s="5" t="s">
        <v>6438</v>
      </c>
      <c r="C7196" s="5" t="s">
        <v>11</v>
      </c>
      <c r="D7196" s="5" t="s">
        <v>12</v>
      </c>
      <c r="E7196" s="5" t="s">
        <v>3962</v>
      </c>
    </row>
    <row r="7197" spans="1:5" x14ac:dyDescent="0.25">
      <c r="A7197" s="5">
        <f>7189</f>
      </c>
      <c r="B7197" s="5" t="s">
        <v>6439</v>
      </c>
      <c r="C7197" s="5" t="s">
        <v>11</v>
      </c>
      <c r="D7197" s="5" t="s">
        <v>12</v>
      </c>
      <c r="E7197" s="5" t="s">
        <v>3962</v>
      </c>
    </row>
    <row r="7198" spans="1:5" x14ac:dyDescent="0.25">
      <c r="A7198" s="5">
        <f>7190</f>
      </c>
      <c r="B7198" s="5" t="s">
        <v>6440</v>
      </c>
      <c r="C7198" s="5" t="s">
        <v>11</v>
      </c>
      <c r="D7198" s="5" t="s">
        <v>12</v>
      </c>
      <c r="E7198" s="5" t="s">
        <v>3962</v>
      </c>
    </row>
    <row r="7199" spans="1:5" x14ac:dyDescent="0.25">
      <c r="A7199" s="5">
        <f>7191</f>
      </c>
      <c r="B7199" s="5" t="s">
        <v>6441</v>
      </c>
      <c r="C7199" s="5" t="s">
        <v>11</v>
      </c>
      <c r="D7199" s="5" t="s">
        <v>12</v>
      </c>
      <c r="E7199" s="5" t="s">
        <v>3962</v>
      </c>
    </row>
    <row r="7200" spans="1:5" x14ac:dyDescent="0.25">
      <c r="A7200" s="5">
        <f>7192</f>
      </c>
      <c r="B7200" s="5" t="s">
        <v>6442</v>
      </c>
      <c r="C7200" s="5" t="s">
        <v>11</v>
      </c>
      <c r="D7200" s="5" t="s">
        <v>12</v>
      </c>
      <c r="E7200" s="5" t="s">
        <v>3962</v>
      </c>
    </row>
    <row r="7201" spans="1:5" x14ac:dyDescent="0.25">
      <c r="A7201" s="5">
        <f>7193</f>
      </c>
      <c r="B7201" s="5" t="s">
        <v>6443</v>
      </c>
      <c r="C7201" s="5" t="s">
        <v>11</v>
      </c>
      <c r="D7201" s="5" t="s">
        <v>12</v>
      </c>
      <c r="E7201" s="5" t="s">
        <v>3962</v>
      </c>
    </row>
    <row r="7202" spans="1:5" x14ac:dyDescent="0.25">
      <c r="A7202" s="5">
        <f>7194</f>
      </c>
      <c r="B7202" s="5" t="s">
        <v>6444</v>
      </c>
      <c r="C7202" s="5" t="s">
        <v>11</v>
      </c>
      <c r="D7202" s="5" t="s">
        <v>12</v>
      </c>
      <c r="E7202" s="5" t="s">
        <v>3962</v>
      </c>
    </row>
    <row r="7203" spans="1:5" x14ac:dyDescent="0.25">
      <c r="A7203" s="5">
        <f>7195</f>
      </c>
      <c r="B7203" s="5" t="s">
        <v>6445</v>
      </c>
      <c r="C7203" s="5" t="s">
        <v>11</v>
      </c>
      <c r="D7203" s="5" t="s">
        <v>12</v>
      </c>
      <c r="E7203" s="5" t="s">
        <v>3962</v>
      </c>
    </row>
    <row r="7204" spans="1:5" x14ac:dyDescent="0.25">
      <c r="A7204" s="5">
        <f>7196</f>
      </c>
      <c r="B7204" s="5" t="s">
        <v>6446</v>
      </c>
      <c r="C7204" s="5" t="s">
        <v>11</v>
      </c>
      <c r="D7204" s="5" t="s">
        <v>12</v>
      </c>
      <c r="E7204" s="5" t="s">
        <v>3962</v>
      </c>
    </row>
    <row r="7205" spans="1:5" x14ac:dyDescent="0.25">
      <c r="A7205" s="5">
        <f>7197</f>
      </c>
      <c r="B7205" s="5" t="s">
        <v>6447</v>
      </c>
      <c r="C7205" s="5" t="s">
        <v>11</v>
      </c>
      <c r="D7205" s="5" t="s">
        <v>12</v>
      </c>
      <c r="E7205" s="5" t="s">
        <v>3962</v>
      </c>
    </row>
    <row r="7206" spans="1:5" x14ac:dyDescent="0.25">
      <c r="A7206" s="5">
        <f>7198</f>
      </c>
      <c r="B7206" s="5" t="s">
        <v>6448</v>
      </c>
      <c r="C7206" s="5" t="s">
        <v>11</v>
      </c>
      <c r="D7206" s="5" t="s">
        <v>12</v>
      </c>
      <c r="E7206" s="5" t="s">
        <v>3962</v>
      </c>
    </row>
    <row r="7207" spans="1:5" x14ac:dyDescent="0.25">
      <c r="A7207" s="5">
        <f>7199</f>
      </c>
      <c r="B7207" s="5" t="s">
        <v>6449</v>
      </c>
      <c r="C7207" s="5" t="s">
        <v>11</v>
      </c>
      <c r="D7207" s="5" t="s">
        <v>12</v>
      </c>
      <c r="E7207" s="5" t="s">
        <v>3962</v>
      </c>
    </row>
    <row r="7208" spans="1:5" x14ac:dyDescent="0.25">
      <c r="A7208" s="5">
        <f>7200</f>
      </c>
      <c r="B7208" s="5" t="s">
        <v>6450</v>
      </c>
      <c r="C7208" s="5" t="s">
        <v>11</v>
      </c>
      <c r="D7208" s="5" t="s">
        <v>12</v>
      </c>
      <c r="E7208" s="5" t="s">
        <v>3962</v>
      </c>
    </row>
    <row r="7209" spans="1:5" x14ac:dyDescent="0.25">
      <c r="A7209" s="5">
        <f>7201</f>
      </c>
      <c r="B7209" s="5" t="s">
        <v>6451</v>
      </c>
      <c r="C7209" s="5" t="s">
        <v>11</v>
      </c>
      <c r="D7209" s="5" t="s">
        <v>12</v>
      </c>
      <c r="E7209" s="5" t="s">
        <v>3962</v>
      </c>
    </row>
    <row r="7210" spans="1:5" x14ac:dyDescent="0.25">
      <c r="A7210" s="5">
        <f>7202</f>
      </c>
      <c r="B7210" s="5" t="s">
        <v>6452</v>
      </c>
      <c r="C7210" s="5" t="s">
        <v>11</v>
      </c>
      <c r="D7210" s="5" t="s">
        <v>12</v>
      </c>
      <c r="E7210" s="5" t="s">
        <v>3962</v>
      </c>
    </row>
    <row r="7211" spans="1:5" x14ac:dyDescent="0.25">
      <c r="A7211" s="5">
        <f>7203</f>
      </c>
      <c r="B7211" s="5" t="s">
        <v>6453</v>
      </c>
      <c r="C7211" s="5" t="s">
        <v>11</v>
      </c>
      <c r="D7211" s="5" t="s">
        <v>12</v>
      </c>
      <c r="E7211" s="5" t="s">
        <v>3962</v>
      </c>
    </row>
    <row r="7212" spans="1:5" x14ac:dyDescent="0.25">
      <c r="A7212" s="5">
        <f>7204</f>
      </c>
      <c r="B7212" s="5" t="s">
        <v>6454</v>
      </c>
      <c r="C7212" s="5" t="s">
        <v>11</v>
      </c>
      <c r="D7212" s="5" t="s">
        <v>12</v>
      </c>
      <c r="E7212" s="5" t="s">
        <v>3962</v>
      </c>
    </row>
    <row r="7213" spans="1:5" x14ac:dyDescent="0.25">
      <c r="A7213" s="5">
        <f>7205</f>
      </c>
      <c r="B7213" s="5" t="s">
        <v>6455</v>
      </c>
      <c r="C7213" s="5" t="s">
        <v>11</v>
      </c>
      <c r="D7213" s="5" t="s">
        <v>12</v>
      </c>
      <c r="E7213" s="5" t="s">
        <v>3962</v>
      </c>
    </row>
    <row r="7214" spans="1:5" x14ac:dyDescent="0.25">
      <c r="A7214" s="5">
        <f>7206</f>
      </c>
      <c r="B7214" s="5" t="s">
        <v>6456</v>
      </c>
      <c r="C7214" s="5" t="s">
        <v>11</v>
      </c>
      <c r="D7214" s="5" t="s">
        <v>12</v>
      </c>
      <c r="E7214" s="5" t="s">
        <v>3962</v>
      </c>
    </row>
    <row r="7215" spans="1:5" x14ac:dyDescent="0.25">
      <c r="A7215" s="5">
        <f>7207</f>
      </c>
      <c r="B7215" s="5" t="s">
        <v>6457</v>
      </c>
      <c r="C7215" s="5" t="s">
        <v>11</v>
      </c>
      <c r="D7215" s="5" t="s">
        <v>12</v>
      </c>
      <c r="E7215" s="5" t="s">
        <v>3962</v>
      </c>
    </row>
    <row r="7216" spans="1:5" x14ac:dyDescent="0.25">
      <c r="A7216" s="5">
        <f>7208</f>
      </c>
      <c r="B7216" s="5" t="s">
        <v>6458</v>
      </c>
      <c r="C7216" s="5" t="s">
        <v>11</v>
      </c>
      <c r="D7216" s="5" t="s">
        <v>12</v>
      </c>
      <c r="E7216" s="5" t="s">
        <v>3962</v>
      </c>
    </row>
    <row r="7217" spans="1:5" x14ac:dyDescent="0.25">
      <c r="A7217" s="5">
        <f>7209</f>
      </c>
      <c r="B7217" s="5" t="s">
        <v>6459</v>
      </c>
      <c r="C7217" s="5" t="s">
        <v>11</v>
      </c>
      <c r="D7217" s="5" t="s">
        <v>12</v>
      </c>
      <c r="E7217" s="5" t="s">
        <v>3962</v>
      </c>
    </row>
    <row r="7218" spans="1:5" x14ac:dyDescent="0.25">
      <c r="A7218" s="5">
        <f>7210</f>
      </c>
      <c r="B7218" s="5" t="s">
        <v>6460</v>
      </c>
      <c r="C7218" s="5" t="s">
        <v>11</v>
      </c>
      <c r="D7218" s="5" t="s">
        <v>12</v>
      </c>
      <c r="E7218" s="5" t="s">
        <v>3962</v>
      </c>
    </row>
    <row r="7219" spans="1:5" x14ac:dyDescent="0.25">
      <c r="A7219" s="5">
        <f>7211</f>
      </c>
      <c r="B7219" s="5" t="s">
        <v>6461</v>
      </c>
      <c r="C7219" s="5" t="s">
        <v>11</v>
      </c>
      <c r="D7219" s="5" t="s">
        <v>12</v>
      </c>
      <c r="E7219" s="5" t="s">
        <v>3962</v>
      </c>
    </row>
    <row r="7220" spans="1:5" x14ac:dyDescent="0.25">
      <c r="A7220" s="5">
        <f>7212</f>
      </c>
      <c r="B7220" s="5" t="s">
        <v>6462</v>
      </c>
      <c r="C7220" s="5" t="s">
        <v>11</v>
      </c>
      <c r="D7220" s="5" t="s">
        <v>12</v>
      </c>
      <c r="E7220" s="5" t="s">
        <v>3962</v>
      </c>
    </row>
    <row r="7221" spans="1:5" x14ac:dyDescent="0.25">
      <c r="A7221" s="5">
        <f>7213</f>
      </c>
      <c r="B7221" s="5" t="s">
        <v>6463</v>
      </c>
      <c r="C7221" s="5" t="s">
        <v>11</v>
      </c>
      <c r="D7221" s="5" t="s">
        <v>12</v>
      </c>
      <c r="E7221" s="5" t="s">
        <v>3962</v>
      </c>
    </row>
    <row r="7222" spans="1:5" x14ac:dyDescent="0.25">
      <c r="A7222" s="5">
        <f>7214</f>
      </c>
      <c r="B7222" s="5" t="s">
        <v>6464</v>
      </c>
      <c r="C7222" s="5" t="s">
        <v>11</v>
      </c>
      <c r="D7222" s="5" t="s">
        <v>12</v>
      </c>
      <c r="E7222" s="5" t="s">
        <v>3962</v>
      </c>
    </row>
    <row r="7223" spans="1:5" x14ac:dyDescent="0.25">
      <c r="A7223" s="5">
        <f>7215</f>
      </c>
      <c r="B7223" s="5" t="s">
        <v>6465</v>
      </c>
      <c r="C7223" s="5" t="s">
        <v>11</v>
      </c>
      <c r="D7223" s="5" t="s">
        <v>12</v>
      </c>
      <c r="E7223" s="5" t="s">
        <v>3962</v>
      </c>
    </row>
    <row r="7224" spans="1:5" x14ac:dyDescent="0.25">
      <c r="A7224" s="5">
        <f>7216</f>
      </c>
      <c r="B7224" s="5" t="s">
        <v>6466</v>
      </c>
      <c r="C7224" s="5" t="s">
        <v>11</v>
      </c>
      <c r="D7224" s="5" t="s">
        <v>12</v>
      </c>
      <c r="E7224" s="5" t="s">
        <v>3962</v>
      </c>
    </row>
    <row r="7225" spans="1:5" x14ac:dyDescent="0.25">
      <c r="A7225" s="5">
        <f>7217</f>
      </c>
      <c r="B7225" s="5" t="s">
        <v>6467</v>
      </c>
      <c r="C7225" s="5" t="s">
        <v>11</v>
      </c>
      <c r="D7225" s="5" t="s">
        <v>12</v>
      </c>
      <c r="E7225" s="5" t="s">
        <v>3962</v>
      </c>
    </row>
    <row r="7226" spans="1:5" x14ac:dyDescent="0.25">
      <c r="A7226" s="5">
        <f>7218</f>
      </c>
      <c r="B7226" s="5" t="s">
        <v>6468</v>
      </c>
      <c r="C7226" s="5" t="s">
        <v>11</v>
      </c>
      <c r="D7226" s="5" t="s">
        <v>12</v>
      </c>
      <c r="E7226" s="5" t="s">
        <v>3962</v>
      </c>
    </row>
    <row r="7227" spans="1:5" x14ac:dyDescent="0.25">
      <c r="A7227" s="5">
        <f>7219</f>
      </c>
      <c r="B7227" s="5" t="s">
        <v>6469</v>
      </c>
      <c r="C7227" s="5" t="s">
        <v>11</v>
      </c>
      <c r="D7227" s="5" t="s">
        <v>12</v>
      </c>
      <c r="E7227" s="5" t="s">
        <v>3962</v>
      </c>
    </row>
    <row r="7228" spans="1:5" x14ac:dyDescent="0.25">
      <c r="A7228" s="5">
        <f>7220</f>
      </c>
      <c r="B7228" s="5" t="s">
        <v>6470</v>
      </c>
      <c r="C7228" s="5" t="s">
        <v>11</v>
      </c>
      <c r="D7228" s="5" t="s">
        <v>12</v>
      </c>
      <c r="E7228" s="5" t="s">
        <v>3962</v>
      </c>
    </row>
    <row r="7229" spans="1:5" x14ac:dyDescent="0.25">
      <c r="A7229" s="5">
        <f>7221</f>
      </c>
      <c r="B7229" s="5" t="s">
        <v>6471</v>
      </c>
      <c r="C7229" s="5" t="s">
        <v>11</v>
      </c>
      <c r="D7229" s="5" t="s">
        <v>12</v>
      </c>
      <c r="E7229" s="5" t="s">
        <v>3962</v>
      </c>
    </row>
    <row r="7230" spans="1:5" x14ac:dyDescent="0.25">
      <c r="A7230" s="5">
        <f>7222</f>
      </c>
      <c r="B7230" s="5" t="s">
        <v>6472</v>
      </c>
      <c r="C7230" s="5" t="s">
        <v>11</v>
      </c>
      <c r="D7230" s="5" t="s">
        <v>12</v>
      </c>
      <c r="E7230" s="5" t="s">
        <v>3962</v>
      </c>
    </row>
    <row r="7231" spans="1:5" x14ac:dyDescent="0.25">
      <c r="A7231" s="5">
        <f>7223</f>
      </c>
      <c r="B7231" s="5" t="s">
        <v>6473</v>
      </c>
      <c r="C7231" s="5" t="s">
        <v>11</v>
      </c>
      <c r="D7231" s="5" t="s">
        <v>12</v>
      </c>
      <c r="E7231" s="5" t="s">
        <v>3962</v>
      </c>
    </row>
    <row r="7232" spans="1:5" x14ac:dyDescent="0.25">
      <c r="A7232" s="5">
        <f>7224</f>
      </c>
      <c r="B7232" s="5" t="s">
        <v>6474</v>
      </c>
      <c r="C7232" s="5" t="s">
        <v>11</v>
      </c>
      <c r="D7232" s="5" t="s">
        <v>12</v>
      </c>
      <c r="E7232" s="5" t="s">
        <v>3962</v>
      </c>
    </row>
    <row r="7233" spans="1:5" x14ac:dyDescent="0.25">
      <c r="A7233" s="5">
        <f>7225</f>
      </c>
      <c r="B7233" s="5" t="s">
        <v>6475</v>
      </c>
      <c r="C7233" s="5" t="s">
        <v>11</v>
      </c>
      <c r="D7233" s="5" t="s">
        <v>12</v>
      </c>
      <c r="E7233" s="5" t="s">
        <v>3962</v>
      </c>
    </row>
    <row r="7234" spans="1:5" x14ac:dyDescent="0.25">
      <c r="A7234" s="5">
        <f>7226</f>
      </c>
      <c r="B7234" s="5" t="s">
        <v>6476</v>
      </c>
      <c r="C7234" s="5" t="s">
        <v>11</v>
      </c>
      <c r="D7234" s="5" t="s">
        <v>12</v>
      </c>
      <c r="E7234" s="5" t="s">
        <v>3962</v>
      </c>
    </row>
    <row r="7235" spans="1:5" x14ac:dyDescent="0.25">
      <c r="A7235" s="5">
        <f>7227</f>
      </c>
      <c r="B7235" s="5" t="s">
        <v>6477</v>
      </c>
      <c r="C7235" s="5" t="s">
        <v>11</v>
      </c>
      <c r="D7235" s="5" t="s">
        <v>12</v>
      </c>
      <c r="E7235" s="5" t="s">
        <v>3962</v>
      </c>
    </row>
    <row r="7236" spans="1:5" x14ac:dyDescent="0.25">
      <c r="A7236" s="5">
        <f>7228</f>
      </c>
      <c r="B7236" s="5" t="s">
        <v>6478</v>
      </c>
      <c r="C7236" s="5" t="s">
        <v>11</v>
      </c>
      <c r="D7236" s="5" t="s">
        <v>12</v>
      </c>
      <c r="E7236" s="5" t="s">
        <v>3962</v>
      </c>
    </row>
    <row r="7237" spans="1:5" x14ac:dyDescent="0.25">
      <c r="A7237" s="5">
        <f>7229</f>
      </c>
      <c r="B7237" s="5" t="s">
        <v>6479</v>
      </c>
      <c r="C7237" s="5" t="s">
        <v>11</v>
      </c>
      <c r="D7237" s="5" t="s">
        <v>12</v>
      </c>
      <c r="E7237" s="5" t="s">
        <v>3962</v>
      </c>
    </row>
    <row r="7238" spans="1:5" x14ac:dyDescent="0.25">
      <c r="A7238" s="5">
        <f>7230</f>
      </c>
      <c r="B7238" s="5" t="s">
        <v>6480</v>
      </c>
      <c r="C7238" s="5" t="s">
        <v>11</v>
      </c>
      <c r="D7238" s="5" t="s">
        <v>12</v>
      </c>
      <c r="E7238" s="5" t="s">
        <v>3962</v>
      </c>
    </row>
    <row r="7239" spans="1:5" x14ac:dyDescent="0.25">
      <c r="A7239" s="5">
        <f>7231</f>
      </c>
      <c r="B7239" s="5" t="s">
        <v>6481</v>
      </c>
      <c r="C7239" s="5" t="s">
        <v>11</v>
      </c>
      <c r="D7239" s="5" t="s">
        <v>12</v>
      </c>
      <c r="E7239" s="5" t="s">
        <v>3962</v>
      </c>
    </row>
    <row r="7240" spans="1:5" x14ac:dyDescent="0.25">
      <c r="A7240" s="5">
        <f>7232</f>
      </c>
      <c r="B7240" s="5" t="s">
        <v>6482</v>
      </c>
      <c r="C7240" s="5" t="s">
        <v>11</v>
      </c>
      <c r="D7240" s="5" t="s">
        <v>12</v>
      </c>
      <c r="E7240" s="5" t="s">
        <v>3962</v>
      </c>
    </row>
    <row r="7241" spans="1:5" x14ac:dyDescent="0.25">
      <c r="A7241" s="5">
        <f>7233</f>
      </c>
      <c r="B7241" s="5" t="s">
        <v>6483</v>
      </c>
      <c r="C7241" s="5" t="s">
        <v>11</v>
      </c>
      <c r="D7241" s="5" t="s">
        <v>12</v>
      </c>
      <c r="E7241" s="5" t="s">
        <v>3962</v>
      </c>
    </row>
    <row r="7242" spans="1:5" x14ac:dyDescent="0.25">
      <c r="A7242" s="5">
        <f>7234</f>
      </c>
      <c r="B7242" s="5" t="s">
        <v>6484</v>
      </c>
      <c r="C7242" s="5" t="s">
        <v>11</v>
      </c>
      <c r="D7242" s="5" t="s">
        <v>12</v>
      </c>
      <c r="E7242" s="5" t="s">
        <v>3962</v>
      </c>
    </row>
    <row r="7243" spans="1:5" x14ac:dyDescent="0.25">
      <c r="A7243" s="5">
        <f>7235</f>
      </c>
      <c r="B7243" s="5" t="s">
        <v>6485</v>
      </c>
      <c r="C7243" s="5" t="s">
        <v>11</v>
      </c>
      <c r="D7243" s="5" t="s">
        <v>12</v>
      </c>
      <c r="E7243" s="5" t="s">
        <v>3962</v>
      </c>
    </row>
    <row r="7244" spans="1:5" x14ac:dyDescent="0.25">
      <c r="A7244" s="5">
        <f>7236</f>
      </c>
      <c r="B7244" s="5" t="s">
        <v>6486</v>
      </c>
      <c r="C7244" s="5" t="s">
        <v>11</v>
      </c>
      <c r="D7244" s="5" t="s">
        <v>12</v>
      </c>
      <c r="E7244" s="5" t="s">
        <v>3962</v>
      </c>
    </row>
    <row r="7245" spans="1:5" x14ac:dyDescent="0.25">
      <c r="A7245" s="5">
        <f>7237</f>
      </c>
      <c r="B7245" s="5" t="s">
        <v>6487</v>
      </c>
      <c r="C7245" s="5" t="s">
        <v>11</v>
      </c>
      <c r="D7245" s="5" t="s">
        <v>12</v>
      </c>
      <c r="E7245" s="5" t="s">
        <v>3962</v>
      </c>
    </row>
    <row r="7246" spans="1:5" x14ac:dyDescent="0.25">
      <c r="A7246" s="5">
        <f>7238</f>
      </c>
      <c r="B7246" s="5" t="s">
        <v>6488</v>
      </c>
      <c r="C7246" s="5" t="s">
        <v>11</v>
      </c>
      <c r="D7246" s="5" t="s">
        <v>12</v>
      </c>
      <c r="E7246" s="5" t="s">
        <v>3962</v>
      </c>
    </row>
    <row r="7247" spans="1:5" x14ac:dyDescent="0.25">
      <c r="A7247" s="5">
        <f>7239</f>
      </c>
      <c r="B7247" s="5" t="s">
        <v>6489</v>
      </c>
      <c r="C7247" s="5" t="s">
        <v>11</v>
      </c>
      <c r="D7247" s="5" t="s">
        <v>12</v>
      </c>
      <c r="E7247" s="5" t="s">
        <v>3962</v>
      </c>
    </row>
    <row r="7248" spans="1:5" x14ac:dyDescent="0.25">
      <c r="A7248" s="5">
        <f>7240</f>
      </c>
      <c r="B7248" s="5" t="s">
        <v>6490</v>
      </c>
      <c r="C7248" s="5" t="s">
        <v>11</v>
      </c>
      <c r="D7248" s="5" t="s">
        <v>12</v>
      </c>
      <c r="E7248" s="5" t="s">
        <v>3962</v>
      </c>
    </row>
    <row r="7249" spans="1:5" x14ac:dyDescent="0.25">
      <c r="A7249" s="5">
        <f>7241</f>
      </c>
      <c r="B7249" s="5" t="s">
        <v>6491</v>
      </c>
      <c r="C7249" s="5" t="s">
        <v>11</v>
      </c>
      <c r="D7249" s="5" t="s">
        <v>12</v>
      </c>
      <c r="E7249" s="5" t="s">
        <v>3962</v>
      </c>
    </row>
    <row r="7250" spans="1:5" x14ac:dyDescent="0.25">
      <c r="A7250" s="5">
        <f>7242</f>
      </c>
      <c r="B7250" s="5" t="s">
        <v>6492</v>
      </c>
      <c r="C7250" s="5" t="s">
        <v>11</v>
      </c>
      <c r="D7250" s="5" t="s">
        <v>12</v>
      </c>
      <c r="E7250" s="5" t="s">
        <v>3962</v>
      </c>
    </row>
    <row r="7251" spans="1:5" x14ac:dyDescent="0.25">
      <c r="A7251" s="5">
        <f>7243</f>
      </c>
      <c r="B7251" s="5" t="s">
        <v>6493</v>
      </c>
      <c r="C7251" s="5" t="s">
        <v>11</v>
      </c>
      <c r="D7251" s="5" t="s">
        <v>12</v>
      </c>
      <c r="E7251" s="5" t="s">
        <v>3962</v>
      </c>
    </row>
    <row r="7252" spans="1:5" x14ac:dyDescent="0.25">
      <c r="A7252" s="5">
        <f>7244</f>
      </c>
      <c r="B7252" s="5" t="s">
        <v>6494</v>
      </c>
      <c r="C7252" s="5" t="s">
        <v>11</v>
      </c>
      <c r="D7252" s="5" t="s">
        <v>12</v>
      </c>
      <c r="E7252" s="5" t="s">
        <v>3962</v>
      </c>
    </row>
    <row r="7253" spans="1:5" x14ac:dyDescent="0.25">
      <c r="A7253" s="5">
        <f>7245</f>
      </c>
      <c r="B7253" s="5" t="s">
        <v>6495</v>
      </c>
      <c r="C7253" s="5" t="s">
        <v>11</v>
      </c>
      <c r="D7253" s="5" t="s">
        <v>12</v>
      </c>
      <c r="E7253" s="5" t="s">
        <v>3962</v>
      </c>
    </row>
    <row r="7254" spans="1:5" x14ac:dyDescent="0.25">
      <c r="A7254" s="5">
        <f>7246</f>
      </c>
      <c r="B7254" s="5" t="s">
        <v>6496</v>
      </c>
      <c r="C7254" s="5" t="s">
        <v>11</v>
      </c>
      <c r="D7254" s="5" t="s">
        <v>12</v>
      </c>
      <c r="E7254" s="5" t="s">
        <v>3962</v>
      </c>
    </row>
    <row r="7255" spans="1:5" x14ac:dyDescent="0.25">
      <c r="A7255" s="5">
        <f>7247</f>
      </c>
      <c r="B7255" s="5" t="s">
        <v>6497</v>
      </c>
      <c r="C7255" s="5" t="s">
        <v>11</v>
      </c>
      <c r="D7255" s="5" t="s">
        <v>12</v>
      </c>
      <c r="E7255" s="5" t="s">
        <v>3962</v>
      </c>
    </row>
    <row r="7256" spans="1:5" x14ac:dyDescent="0.25">
      <c r="A7256" s="5">
        <f>7248</f>
      </c>
      <c r="B7256" s="5" t="s">
        <v>6498</v>
      </c>
      <c r="C7256" s="5" t="s">
        <v>11</v>
      </c>
      <c r="D7256" s="5" t="s">
        <v>12</v>
      </c>
      <c r="E7256" s="5" t="s">
        <v>3962</v>
      </c>
    </row>
    <row r="7257" spans="1:5" x14ac:dyDescent="0.25">
      <c r="A7257" s="5">
        <f>7249</f>
      </c>
      <c r="B7257" s="5" t="s">
        <v>6499</v>
      </c>
      <c r="C7257" s="5" t="s">
        <v>11</v>
      </c>
      <c r="D7257" s="5" t="s">
        <v>12</v>
      </c>
      <c r="E7257" s="5" t="s">
        <v>3962</v>
      </c>
    </row>
    <row r="7258" spans="1:5" x14ac:dyDescent="0.25">
      <c r="A7258" s="5">
        <f>7250</f>
      </c>
      <c r="B7258" s="5" t="s">
        <v>6500</v>
      </c>
      <c r="C7258" s="5" t="s">
        <v>11</v>
      </c>
      <c r="D7258" s="5" t="s">
        <v>12</v>
      </c>
      <c r="E7258" s="5" t="s">
        <v>3962</v>
      </c>
    </row>
    <row r="7259" spans="1:5" x14ac:dyDescent="0.25">
      <c r="A7259" s="5">
        <f>7251</f>
      </c>
      <c r="B7259" s="5" t="s">
        <v>6501</v>
      </c>
      <c r="C7259" s="5" t="s">
        <v>11</v>
      </c>
      <c r="D7259" s="5" t="s">
        <v>12</v>
      </c>
      <c r="E7259" s="5" t="s">
        <v>3962</v>
      </c>
    </row>
    <row r="7260" spans="1:5" x14ac:dyDescent="0.25">
      <c r="A7260" s="5">
        <f>7252</f>
      </c>
      <c r="B7260" s="5" t="s">
        <v>6502</v>
      </c>
      <c r="C7260" s="5" t="s">
        <v>11</v>
      </c>
      <c r="D7260" s="5" t="s">
        <v>12</v>
      </c>
      <c r="E7260" s="5" t="s">
        <v>3962</v>
      </c>
    </row>
    <row r="7261" spans="1:5" x14ac:dyDescent="0.25">
      <c r="A7261" s="5">
        <f>7253</f>
      </c>
      <c r="B7261" s="5" t="s">
        <v>6503</v>
      </c>
      <c r="C7261" s="5" t="s">
        <v>11</v>
      </c>
      <c r="D7261" s="5" t="s">
        <v>12</v>
      </c>
      <c r="E7261" s="5" t="s">
        <v>3962</v>
      </c>
    </row>
    <row r="7262" spans="1:5" x14ac:dyDescent="0.25">
      <c r="A7262" s="5">
        <f>7254</f>
      </c>
      <c r="B7262" s="5" t="s">
        <v>6504</v>
      </c>
      <c r="C7262" s="5" t="s">
        <v>11</v>
      </c>
      <c r="D7262" s="5" t="s">
        <v>12</v>
      </c>
      <c r="E7262" s="5" t="s">
        <v>3962</v>
      </c>
    </row>
    <row r="7263" spans="1:5" x14ac:dyDescent="0.25">
      <c r="A7263" s="5">
        <f>7255</f>
      </c>
      <c r="B7263" s="5" t="s">
        <v>6505</v>
      </c>
      <c r="C7263" s="5" t="s">
        <v>11</v>
      </c>
      <c r="D7263" s="5" t="s">
        <v>12</v>
      </c>
      <c r="E7263" s="5" t="s">
        <v>3962</v>
      </c>
    </row>
    <row r="7264" spans="1:5" x14ac:dyDescent="0.25">
      <c r="A7264" s="5">
        <f>7256</f>
      </c>
      <c r="B7264" s="5" t="s">
        <v>6506</v>
      </c>
      <c r="C7264" s="5" t="s">
        <v>11</v>
      </c>
      <c r="D7264" s="5" t="s">
        <v>12</v>
      </c>
      <c r="E7264" s="5" t="s">
        <v>3962</v>
      </c>
    </row>
    <row r="7265" spans="1:5" x14ac:dyDescent="0.25">
      <c r="A7265" s="5">
        <f>7257</f>
      </c>
      <c r="B7265" s="5" t="s">
        <v>6507</v>
      </c>
      <c r="C7265" s="5" t="s">
        <v>11</v>
      </c>
      <c r="D7265" s="5" t="s">
        <v>12</v>
      </c>
      <c r="E7265" s="5" t="s">
        <v>3962</v>
      </c>
    </row>
    <row r="7266" spans="1:5" x14ac:dyDescent="0.25">
      <c r="A7266" s="5">
        <f>7258</f>
      </c>
      <c r="B7266" s="5" t="s">
        <v>6508</v>
      </c>
      <c r="C7266" s="5" t="s">
        <v>11</v>
      </c>
      <c r="D7266" s="5" t="s">
        <v>12</v>
      </c>
      <c r="E7266" s="5" t="s">
        <v>3962</v>
      </c>
    </row>
    <row r="7267" spans="1:5" x14ac:dyDescent="0.25">
      <c r="A7267" s="5">
        <f>7259</f>
      </c>
      <c r="B7267" s="5" t="s">
        <v>6509</v>
      </c>
      <c r="C7267" s="5" t="s">
        <v>11</v>
      </c>
      <c r="D7267" s="5" t="s">
        <v>12</v>
      </c>
      <c r="E7267" s="5" t="s">
        <v>3962</v>
      </c>
    </row>
    <row r="7268" spans="1:5" x14ac:dyDescent="0.25">
      <c r="A7268" s="5">
        <f>7260</f>
      </c>
      <c r="B7268" s="5" t="s">
        <v>6510</v>
      </c>
      <c r="C7268" s="5" t="s">
        <v>11</v>
      </c>
      <c r="D7268" s="5" t="s">
        <v>12</v>
      </c>
      <c r="E7268" s="5" t="s">
        <v>3962</v>
      </c>
    </row>
    <row r="7269" spans="1:5" x14ac:dyDescent="0.25">
      <c r="A7269" s="5">
        <f>7261</f>
      </c>
      <c r="B7269" s="5" t="s">
        <v>6511</v>
      </c>
      <c r="C7269" s="5" t="s">
        <v>11</v>
      </c>
      <c r="D7269" s="5" t="s">
        <v>12</v>
      </c>
      <c r="E7269" s="5" t="s">
        <v>3962</v>
      </c>
    </row>
    <row r="7270" spans="1:5" x14ac:dyDescent="0.25">
      <c r="A7270" s="5">
        <f>7262</f>
      </c>
      <c r="B7270" s="5" t="s">
        <v>6512</v>
      </c>
      <c r="C7270" s="5" t="s">
        <v>11</v>
      </c>
      <c r="D7270" s="5" t="s">
        <v>12</v>
      </c>
      <c r="E7270" s="5" t="s">
        <v>3962</v>
      </c>
    </row>
    <row r="7271" spans="1:5" x14ac:dyDescent="0.25">
      <c r="A7271" s="5">
        <f>7263</f>
      </c>
      <c r="B7271" s="5" t="s">
        <v>6513</v>
      </c>
      <c r="C7271" s="5" t="s">
        <v>11</v>
      </c>
      <c r="D7271" s="5" t="s">
        <v>12</v>
      </c>
      <c r="E7271" s="5" t="s">
        <v>3962</v>
      </c>
    </row>
    <row r="7272" spans="1:5" x14ac:dyDescent="0.25">
      <c r="A7272" s="5">
        <f>7264</f>
      </c>
      <c r="B7272" s="5" t="s">
        <v>6514</v>
      </c>
      <c r="C7272" s="5" t="s">
        <v>11</v>
      </c>
      <c r="D7272" s="5" t="s">
        <v>12</v>
      </c>
      <c r="E7272" s="5" t="s">
        <v>3962</v>
      </c>
    </row>
    <row r="7273" spans="1:5" x14ac:dyDescent="0.25">
      <c r="A7273" s="5">
        <f>7265</f>
      </c>
      <c r="B7273" s="5" t="s">
        <v>6515</v>
      </c>
      <c r="C7273" s="5" t="s">
        <v>11</v>
      </c>
      <c r="D7273" s="5" t="s">
        <v>12</v>
      </c>
      <c r="E7273" s="5" t="s">
        <v>3962</v>
      </c>
    </row>
    <row r="7274" spans="1:5" x14ac:dyDescent="0.25">
      <c r="A7274" s="5">
        <f>7266</f>
      </c>
      <c r="B7274" s="5" t="s">
        <v>6516</v>
      </c>
      <c r="C7274" s="5" t="s">
        <v>11</v>
      </c>
      <c r="D7274" s="5" t="s">
        <v>12</v>
      </c>
      <c r="E7274" s="5" t="s">
        <v>3962</v>
      </c>
    </row>
    <row r="7275" spans="1:5" x14ac:dyDescent="0.25">
      <c r="A7275" s="5">
        <f>7267</f>
      </c>
      <c r="B7275" s="5" t="s">
        <v>6517</v>
      </c>
      <c r="C7275" s="5" t="s">
        <v>11</v>
      </c>
      <c r="D7275" s="5" t="s">
        <v>12</v>
      </c>
      <c r="E7275" s="5" t="s">
        <v>3962</v>
      </c>
    </row>
    <row r="7276" spans="1:5" x14ac:dyDescent="0.25">
      <c r="A7276" s="5">
        <f>7268</f>
      </c>
      <c r="B7276" s="5" t="s">
        <v>6518</v>
      </c>
      <c r="C7276" s="5" t="s">
        <v>11</v>
      </c>
      <c r="D7276" s="5" t="s">
        <v>12</v>
      </c>
      <c r="E7276" s="5" t="s">
        <v>3962</v>
      </c>
    </row>
    <row r="7277" spans="1:5" x14ac:dyDescent="0.25">
      <c r="A7277" s="5">
        <f>7269</f>
      </c>
      <c r="B7277" s="5" t="s">
        <v>6519</v>
      </c>
      <c r="C7277" s="5" t="s">
        <v>11</v>
      </c>
      <c r="D7277" s="5" t="s">
        <v>12</v>
      </c>
      <c r="E7277" s="5" t="s">
        <v>3962</v>
      </c>
    </row>
    <row r="7278" spans="1:5" x14ac:dyDescent="0.25">
      <c r="A7278" s="5">
        <f>7270</f>
      </c>
      <c r="B7278" s="5" t="s">
        <v>6520</v>
      </c>
      <c r="C7278" s="5" t="s">
        <v>11</v>
      </c>
      <c r="D7278" s="5" t="s">
        <v>12</v>
      </c>
      <c r="E7278" s="5" t="s">
        <v>3962</v>
      </c>
    </row>
    <row r="7279" spans="1:5" x14ac:dyDescent="0.25">
      <c r="A7279" s="5">
        <f>7271</f>
      </c>
      <c r="B7279" s="5" t="s">
        <v>6521</v>
      </c>
      <c r="C7279" s="5" t="s">
        <v>11</v>
      </c>
      <c r="D7279" s="5" t="s">
        <v>12</v>
      </c>
      <c r="E7279" s="5" t="s">
        <v>3962</v>
      </c>
    </row>
    <row r="7280" spans="1:5" x14ac:dyDescent="0.25">
      <c r="A7280" s="5">
        <f>7272</f>
      </c>
      <c r="B7280" s="5" t="s">
        <v>6522</v>
      </c>
      <c r="C7280" s="5" t="s">
        <v>11</v>
      </c>
      <c r="D7280" s="5" t="s">
        <v>12</v>
      </c>
      <c r="E7280" s="5" t="s">
        <v>3962</v>
      </c>
    </row>
    <row r="7281" spans="1:5" x14ac:dyDescent="0.25">
      <c r="A7281" s="5">
        <f>7273</f>
      </c>
      <c r="B7281" s="5" t="s">
        <v>6523</v>
      </c>
      <c r="C7281" s="5" t="s">
        <v>11</v>
      </c>
      <c r="D7281" s="5" t="s">
        <v>12</v>
      </c>
      <c r="E7281" s="5" t="s">
        <v>3962</v>
      </c>
    </row>
    <row r="7282" spans="1:5" x14ac:dyDescent="0.25">
      <c r="A7282" s="5">
        <f>7274</f>
      </c>
      <c r="B7282" s="5" t="s">
        <v>6524</v>
      </c>
      <c r="C7282" s="5" t="s">
        <v>11</v>
      </c>
      <c r="D7282" s="5" t="s">
        <v>12</v>
      </c>
      <c r="E7282" s="5" t="s">
        <v>3962</v>
      </c>
    </row>
    <row r="7283" spans="1:5" x14ac:dyDescent="0.25">
      <c r="A7283" s="5">
        <f>7275</f>
      </c>
      <c r="B7283" s="5" t="s">
        <v>6525</v>
      </c>
      <c r="C7283" s="5" t="s">
        <v>11</v>
      </c>
      <c r="D7283" s="5" t="s">
        <v>12</v>
      </c>
      <c r="E7283" s="5" t="s">
        <v>3962</v>
      </c>
    </row>
    <row r="7284" spans="1:5" x14ac:dyDescent="0.25">
      <c r="A7284" s="5">
        <f>7276</f>
      </c>
      <c r="B7284" s="5" t="s">
        <v>6526</v>
      </c>
      <c r="C7284" s="5" t="s">
        <v>11</v>
      </c>
      <c r="D7284" s="5" t="s">
        <v>12</v>
      </c>
      <c r="E7284" s="5" t="s">
        <v>3962</v>
      </c>
    </row>
    <row r="7285" spans="1:5" x14ac:dyDescent="0.25">
      <c r="A7285" s="5">
        <f>7277</f>
      </c>
      <c r="B7285" s="5" t="s">
        <v>6527</v>
      </c>
      <c r="C7285" s="5" t="s">
        <v>11</v>
      </c>
      <c r="D7285" s="5" t="s">
        <v>12</v>
      </c>
      <c r="E7285" s="5" t="s">
        <v>3962</v>
      </c>
    </row>
    <row r="7286" spans="1:5" x14ac:dyDescent="0.25">
      <c r="A7286" s="5">
        <f>7278</f>
      </c>
      <c r="B7286" s="5" t="s">
        <v>6528</v>
      </c>
      <c r="C7286" s="5" t="s">
        <v>11</v>
      </c>
      <c r="D7286" s="5" t="s">
        <v>12</v>
      </c>
      <c r="E7286" s="5" t="s">
        <v>3962</v>
      </c>
    </row>
    <row r="7287" spans="1:5" x14ac:dyDescent="0.25">
      <c r="A7287" s="5">
        <f>7279</f>
      </c>
      <c r="B7287" s="5" t="s">
        <v>6529</v>
      </c>
      <c r="C7287" s="5" t="s">
        <v>11</v>
      </c>
      <c r="D7287" s="5" t="s">
        <v>12</v>
      </c>
      <c r="E7287" s="5" t="s">
        <v>3962</v>
      </c>
    </row>
    <row r="7288" spans="1:5" x14ac:dyDescent="0.25">
      <c r="A7288" s="5">
        <f>7280</f>
      </c>
      <c r="B7288" s="5" t="s">
        <v>6530</v>
      </c>
      <c r="C7288" s="5" t="s">
        <v>11</v>
      </c>
      <c r="D7288" s="5" t="s">
        <v>12</v>
      </c>
      <c r="E7288" s="5" t="s">
        <v>3962</v>
      </c>
    </row>
    <row r="7289" spans="1:5" x14ac:dyDescent="0.25">
      <c r="A7289" s="5">
        <f>7281</f>
      </c>
      <c r="B7289" s="5" t="s">
        <v>6531</v>
      </c>
      <c r="C7289" s="5" t="s">
        <v>11</v>
      </c>
      <c r="D7289" s="5" t="s">
        <v>12</v>
      </c>
      <c r="E7289" s="5" t="s">
        <v>3962</v>
      </c>
    </row>
    <row r="7290" spans="1:5" x14ac:dyDescent="0.25">
      <c r="A7290" s="5">
        <f>7282</f>
      </c>
      <c r="B7290" s="5" t="s">
        <v>6532</v>
      </c>
      <c r="C7290" s="5" t="s">
        <v>11</v>
      </c>
      <c r="D7290" s="5" t="s">
        <v>12</v>
      </c>
      <c r="E7290" s="5" t="s">
        <v>3962</v>
      </c>
    </row>
    <row r="7291" spans="1:5" x14ac:dyDescent="0.25">
      <c r="A7291" s="5">
        <f>7283</f>
      </c>
      <c r="B7291" s="5" t="s">
        <v>6533</v>
      </c>
      <c r="C7291" s="5" t="s">
        <v>11</v>
      </c>
      <c r="D7291" s="5" t="s">
        <v>12</v>
      </c>
      <c r="E7291" s="5" t="s">
        <v>3962</v>
      </c>
    </row>
    <row r="7292" spans="1:5" x14ac:dyDescent="0.25">
      <c r="A7292" s="5">
        <f>7284</f>
      </c>
      <c r="B7292" s="5" t="s">
        <v>6534</v>
      </c>
      <c r="C7292" s="5" t="s">
        <v>11</v>
      </c>
      <c r="D7292" s="5" t="s">
        <v>12</v>
      </c>
      <c r="E7292" s="5" t="s">
        <v>3962</v>
      </c>
    </row>
    <row r="7293" spans="1:5" x14ac:dyDescent="0.25">
      <c r="A7293" s="5">
        <f>7285</f>
      </c>
      <c r="B7293" s="5" t="s">
        <v>6535</v>
      </c>
      <c r="C7293" s="5" t="s">
        <v>11</v>
      </c>
      <c r="D7293" s="5" t="s">
        <v>12</v>
      </c>
      <c r="E7293" s="5" t="s">
        <v>3962</v>
      </c>
    </row>
    <row r="7294" spans="1:5" x14ac:dyDescent="0.25">
      <c r="A7294" s="5">
        <f>7286</f>
      </c>
      <c r="B7294" s="5" t="s">
        <v>6536</v>
      </c>
      <c r="C7294" s="5" t="s">
        <v>11</v>
      </c>
      <c r="D7294" s="5" t="s">
        <v>12</v>
      </c>
      <c r="E7294" s="5" t="s">
        <v>3962</v>
      </c>
    </row>
    <row r="7295" spans="1:5" x14ac:dyDescent="0.25">
      <c r="A7295" s="5">
        <f>7287</f>
      </c>
      <c r="B7295" s="5" t="s">
        <v>6537</v>
      </c>
      <c r="C7295" s="5" t="s">
        <v>11</v>
      </c>
      <c r="D7295" s="5" t="s">
        <v>12</v>
      </c>
      <c r="E7295" s="5" t="s">
        <v>3962</v>
      </c>
    </row>
    <row r="7296" spans="1:5" x14ac:dyDescent="0.25">
      <c r="A7296" s="5">
        <f>7288</f>
      </c>
      <c r="B7296" s="5" t="s">
        <v>6538</v>
      </c>
      <c r="C7296" s="5" t="s">
        <v>11</v>
      </c>
      <c r="D7296" s="5" t="s">
        <v>12</v>
      </c>
      <c r="E7296" s="5" t="s">
        <v>3962</v>
      </c>
    </row>
    <row r="7297" spans="1:5" x14ac:dyDescent="0.25">
      <c r="A7297" s="5">
        <f>7289</f>
      </c>
      <c r="B7297" s="5" t="s">
        <v>6539</v>
      </c>
      <c r="C7297" s="5" t="s">
        <v>11</v>
      </c>
      <c r="D7297" s="5" t="s">
        <v>12</v>
      </c>
      <c r="E7297" s="5" t="s">
        <v>3962</v>
      </c>
    </row>
    <row r="7298" spans="1:5" x14ac:dyDescent="0.25">
      <c r="A7298" s="5">
        <f>7290</f>
      </c>
      <c r="B7298" s="5" t="s">
        <v>6540</v>
      </c>
      <c r="C7298" s="5" t="s">
        <v>11</v>
      </c>
      <c r="D7298" s="5" t="s">
        <v>12</v>
      </c>
      <c r="E7298" s="5" t="s">
        <v>3962</v>
      </c>
    </row>
    <row r="7299" spans="1:5" x14ac:dyDescent="0.25">
      <c r="A7299" s="5">
        <f>7291</f>
      </c>
      <c r="B7299" s="5" t="s">
        <v>6541</v>
      </c>
      <c r="C7299" s="5" t="s">
        <v>11</v>
      </c>
      <c r="D7299" s="5" t="s">
        <v>12</v>
      </c>
      <c r="E7299" s="5" t="s">
        <v>3962</v>
      </c>
    </row>
    <row r="7300" spans="1:5" x14ac:dyDescent="0.25">
      <c r="A7300" s="5">
        <f>7292</f>
      </c>
      <c r="B7300" s="5" t="s">
        <v>6542</v>
      </c>
      <c r="C7300" s="5" t="s">
        <v>11</v>
      </c>
      <c r="D7300" s="5" t="s">
        <v>12</v>
      </c>
      <c r="E7300" s="5" t="s">
        <v>3962</v>
      </c>
    </row>
    <row r="7301" spans="1:5" x14ac:dyDescent="0.25">
      <c r="A7301" s="5">
        <f>7293</f>
      </c>
      <c r="B7301" s="5" t="s">
        <v>6543</v>
      </c>
      <c r="C7301" s="5" t="s">
        <v>11</v>
      </c>
      <c r="D7301" s="5" t="s">
        <v>12</v>
      </c>
      <c r="E7301" s="5" t="s">
        <v>3962</v>
      </c>
    </row>
    <row r="7302" spans="1:5" x14ac:dyDescent="0.25">
      <c r="A7302" s="5">
        <f>7294</f>
      </c>
      <c r="B7302" s="5" t="s">
        <v>6544</v>
      </c>
      <c r="C7302" s="5" t="s">
        <v>11</v>
      </c>
      <c r="D7302" s="5" t="s">
        <v>12</v>
      </c>
      <c r="E7302" s="5" t="s">
        <v>3962</v>
      </c>
    </row>
    <row r="7303" spans="1:5" x14ac:dyDescent="0.25">
      <c r="A7303" s="5">
        <f>7295</f>
      </c>
      <c r="B7303" s="5" t="s">
        <v>6545</v>
      </c>
      <c r="C7303" s="5" t="s">
        <v>11</v>
      </c>
      <c r="D7303" s="5" t="s">
        <v>12</v>
      </c>
      <c r="E7303" s="5" t="s">
        <v>3962</v>
      </c>
    </row>
    <row r="7304" spans="1:5" x14ac:dyDescent="0.25">
      <c r="A7304" s="5">
        <f>7296</f>
      </c>
      <c r="B7304" s="5" t="s">
        <v>6546</v>
      </c>
      <c r="C7304" s="5" t="s">
        <v>11</v>
      </c>
      <c r="D7304" s="5" t="s">
        <v>12</v>
      </c>
      <c r="E7304" s="5" t="s">
        <v>3962</v>
      </c>
    </row>
    <row r="7305" spans="1:5" x14ac:dyDescent="0.25">
      <c r="A7305" s="5">
        <f>7297</f>
      </c>
      <c r="B7305" s="5" t="s">
        <v>6547</v>
      </c>
      <c r="C7305" s="5" t="s">
        <v>11</v>
      </c>
      <c r="D7305" s="5" t="s">
        <v>12</v>
      </c>
      <c r="E7305" s="5" t="s">
        <v>3962</v>
      </c>
    </row>
    <row r="7306" spans="1:5" x14ac:dyDescent="0.25">
      <c r="A7306" s="5">
        <f>7298</f>
      </c>
      <c r="B7306" s="5" t="s">
        <v>6548</v>
      </c>
      <c r="C7306" s="5" t="s">
        <v>11</v>
      </c>
      <c r="D7306" s="5" t="s">
        <v>12</v>
      </c>
      <c r="E7306" s="5" t="s">
        <v>3962</v>
      </c>
    </row>
    <row r="7307" spans="1:5" x14ac:dyDescent="0.25">
      <c r="A7307" s="5">
        <f>7299</f>
      </c>
      <c r="B7307" s="5" t="s">
        <v>6549</v>
      </c>
      <c r="C7307" s="5" t="s">
        <v>11</v>
      </c>
      <c r="D7307" s="5" t="s">
        <v>12</v>
      </c>
      <c r="E7307" s="5" t="s">
        <v>3962</v>
      </c>
    </row>
    <row r="7308" spans="1:5" x14ac:dyDescent="0.25">
      <c r="A7308" s="5">
        <f>7300</f>
      </c>
      <c r="B7308" s="5" t="s">
        <v>6550</v>
      </c>
      <c r="C7308" s="5" t="s">
        <v>11</v>
      </c>
      <c r="D7308" s="5" t="s">
        <v>12</v>
      </c>
      <c r="E7308" s="5" t="s">
        <v>3962</v>
      </c>
    </row>
    <row r="7309" spans="1:5" x14ac:dyDescent="0.25">
      <c r="A7309" s="5">
        <f>7301</f>
      </c>
      <c r="B7309" s="5" t="s">
        <v>6551</v>
      </c>
      <c r="C7309" s="5" t="s">
        <v>11</v>
      </c>
      <c r="D7309" s="5" t="s">
        <v>12</v>
      </c>
      <c r="E7309" s="5" t="s">
        <v>3962</v>
      </c>
    </row>
    <row r="7310" spans="1:5" x14ac:dyDescent="0.25">
      <c r="A7310" s="5">
        <f>7302</f>
      </c>
      <c r="B7310" s="5" t="s">
        <v>6552</v>
      </c>
      <c r="C7310" s="5" t="s">
        <v>11</v>
      </c>
      <c r="D7310" s="5" t="s">
        <v>12</v>
      </c>
      <c r="E7310" s="5" t="s">
        <v>3962</v>
      </c>
    </row>
    <row r="7311" spans="1:5" x14ac:dyDescent="0.25">
      <c r="A7311" s="5">
        <f>7303</f>
      </c>
      <c r="B7311" s="5" t="s">
        <v>6553</v>
      </c>
      <c r="C7311" s="5" t="s">
        <v>11</v>
      </c>
      <c r="D7311" s="5" t="s">
        <v>12</v>
      </c>
      <c r="E7311" s="5" t="s">
        <v>3962</v>
      </c>
    </row>
    <row r="7312" spans="1:5" x14ac:dyDescent="0.25">
      <c r="A7312" s="5">
        <f>7304</f>
      </c>
      <c r="B7312" s="5" t="s">
        <v>6554</v>
      </c>
      <c r="C7312" s="5" t="s">
        <v>11</v>
      </c>
      <c r="D7312" s="5" t="s">
        <v>12</v>
      </c>
      <c r="E7312" s="5" t="s">
        <v>3962</v>
      </c>
    </row>
    <row r="7313" spans="1:5" x14ac:dyDescent="0.25">
      <c r="A7313" s="5">
        <f>7305</f>
      </c>
      <c r="B7313" s="5" t="s">
        <v>6555</v>
      </c>
      <c r="C7313" s="5" t="s">
        <v>11</v>
      </c>
      <c r="D7313" s="5" t="s">
        <v>12</v>
      </c>
      <c r="E7313" s="5" t="s">
        <v>3962</v>
      </c>
    </row>
    <row r="7314" spans="1:5" x14ac:dyDescent="0.25">
      <c r="A7314" s="5">
        <f>7306</f>
      </c>
      <c r="B7314" s="5" t="s">
        <v>6556</v>
      </c>
      <c r="C7314" s="5" t="s">
        <v>11</v>
      </c>
      <c r="D7314" s="5" t="s">
        <v>12</v>
      </c>
      <c r="E7314" s="5" t="s">
        <v>3962</v>
      </c>
    </row>
    <row r="7315" spans="1:5" x14ac:dyDescent="0.25">
      <c r="A7315" s="5">
        <f>7307</f>
      </c>
      <c r="B7315" s="5" t="s">
        <v>6557</v>
      </c>
      <c r="C7315" s="5" t="s">
        <v>11</v>
      </c>
      <c r="D7315" s="5" t="s">
        <v>12</v>
      </c>
      <c r="E7315" s="5" t="s">
        <v>3962</v>
      </c>
    </row>
    <row r="7316" spans="1:5" x14ac:dyDescent="0.25">
      <c r="A7316" s="5">
        <f>7308</f>
      </c>
      <c r="B7316" s="5" t="s">
        <v>6558</v>
      </c>
      <c r="C7316" s="5" t="s">
        <v>11</v>
      </c>
      <c r="D7316" s="5" t="s">
        <v>12</v>
      </c>
      <c r="E7316" s="5" t="s">
        <v>3962</v>
      </c>
    </row>
    <row r="7317" spans="1:5" x14ac:dyDescent="0.25">
      <c r="A7317" s="5">
        <f>7309</f>
      </c>
      <c r="B7317" s="5" t="s">
        <v>6559</v>
      </c>
      <c r="C7317" s="5" t="s">
        <v>11</v>
      </c>
      <c r="D7317" s="5" t="s">
        <v>12</v>
      </c>
      <c r="E7317" s="5" t="s">
        <v>3962</v>
      </c>
    </row>
    <row r="7318" spans="1:5" x14ac:dyDescent="0.25">
      <c r="A7318" s="5">
        <f>7310</f>
      </c>
      <c r="B7318" s="5" t="s">
        <v>6560</v>
      </c>
      <c r="C7318" s="5" t="s">
        <v>11</v>
      </c>
      <c r="D7318" s="5" t="s">
        <v>12</v>
      </c>
      <c r="E7318" s="5" t="s">
        <v>3962</v>
      </c>
    </row>
    <row r="7319" spans="1:5" x14ac:dyDescent="0.25">
      <c r="A7319" s="5">
        <f>7311</f>
      </c>
      <c r="B7319" s="5" t="s">
        <v>6561</v>
      </c>
      <c r="C7319" s="5" t="s">
        <v>11</v>
      </c>
      <c r="D7319" s="5" t="s">
        <v>12</v>
      </c>
      <c r="E7319" s="5" t="s">
        <v>3962</v>
      </c>
    </row>
    <row r="7320" spans="1:5" x14ac:dyDescent="0.25">
      <c r="A7320" s="5">
        <f>7312</f>
      </c>
      <c r="B7320" s="5" t="s">
        <v>6562</v>
      </c>
      <c r="C7320" s="5" t="s">
        <v>11</v>
      </c>
      <c r="D7320" s="5" t="s">
        <v>12</v>
      </c>
      <c r="E7320" s="5" t="s">
        <v>3962</v>
      </c>
    </row>
    <row r="7321" spans="1:5" x14ac:dyDescent="0.25">
      <c r="A7321" s="5">
        <f>7313</f>
      </c>
      <c r="B7321" s="5" t="s">
        <v>6563</v>
      </c>
      <c r="C7321" s="5" t="s">
        <v>11</v>
      </c>
      <c r="D7321" s="5" t="s">
        <v>12</v>
      </c>
      <c r="E7321" s="5" t="s">
        <v>3962</v>
      </c>
    </row>
    <row r="7322" spans="1:5" x14ac:dyDescent="0.25">
      <c r="A7322" s="5">
        <f>7314</f>
      </c>
      <c r="B7322" s="5" t="s">
        <v>6564</v>
      </c>
      <c r="C7322" s="5" t="s">
        <v>11</v>
      </c>
      <c r="D7322" s="5" t="s">
        <v>12</v>
      </c>
      <c r="E7322" s="5" t="s">
        <v>3962</v>
      </c>
    </row>
    <row r="7323" spans="1:5" x14ac:dyDescent="0.25">
      <c r="A7323" s="5">
        <f>7315</f>
      </c>
      <c r="B7323" s="5" t="s">
        <v>6565</v>
      </c>
      <c r="C7323" s="5" t="s">
        <v>11</v>
      </c>
      <c r="D7323" s="5" t="s">
        <v>12</v>
      </c>
      <c r="E7323" s="5" t="s">
        <v>3962</v>
      </c>
    </row>
    <row r="7324" spans="1:5" x14ac:dyDescent="0.25">
      <c r="A7324" s="5">
        <f>7316</f>
      </c>
      <c r="B7324" s="5" t="s">
        <v>6566</v>
      </c>
      <c r="C7324" s="5" t="s">
        <v>11</v>
      </c>
      <c r="D7324" s="5" t="s">
        <v>12</v>
      </c>
      <c r="E7324" s="5" t="s">
        <v>3962</v>
      </c>
    </row>
    <row r="7325" spans="1:5" x14ac:dyDescent="0.25">
      <c r="A7325" s="5">
        <f>7317</f>
      </c>
      <c r="B7325" s="5" t="s">
        <v>6567</v>
      </c>
      <c r="C7325" s="5" t="s">
        <v>11</v>
      </c>
      <c r="D7325" s="5" t="s">
        <v>12</v>
      </c>
      <c r="E7325" s="5" t="s">
        <v>3962</v>
      </c>
    </row>
    <row r="7326" spans="1:5" x14ac:dyDescent="0.25">
      <c r="A7326" s="5">
        <f>7318</f>
      </c>
      <c r="B7326" s="5" t="s">
        <v>6568</v>
      </c>
      <c r="C7326" s="5" t="s">
        <v>11</v>
      </c>
      <c r="D7326" s="5" t="s">
        <v>12</v>
      </c>
      <c r="E7326" s="5" t="s">
        <v>3962</v>
      </c>
    </row>
    <row r="7327" spans="1:5" x14ac:dyDescent="0.25">
      <c r="A7327" s="5">
        <f>7319</f>
      </c>
      <c r="B7327" s="5" t="s">
        <v>6569</v>
      </c>
      <c r="C7327" s="5" t="s">
        <v>11</v>
      </c>
      <c r="D7327" s="5" t="s">
        <v>12</v>
      </c>
      <c r="E7327" s="5" t="s">
        <v>3962</v>
      </c>
    </row>
    <row r="7328" spans="1:5" x14ac:dyDescent="0.25">
      <c r="A7328" s="5">
        <f>7320</f>
      </c>
      <c r="B7328" s="5" t="s">
        <v>6570</v>
      </c>
      <c r="C7328" s="5" t="s">
        <v>11</v>
      </c>
      <c r="D7328" s="5" t="s">
        <v>12</v>
      </c>
      <c r="E7328" s="5" t="s">
        <v>3962</v>
      </c>
    </row>
    <row r="7329" spans="1:5" x14ac:dyDescent="0.25">
      <c r="A7329" s="5">
        <f>7321</f>
      </c>
      <c r="B7329" s="5" t="s">
        <v>6571</v>
      </c>
      <c r="C7329" s="5" t="s">
        <v>11</v>
      </c>
      <c r="D7329" s="5" t="s">
        <v>12</v>
      </c>
      <c r="E7329" s="5" t="s">
        <v>3962</v>
      </c>
    </row>
    <row r="7330" spans="1:5" x14ac:dyDescent="0.25">
      <c r="A7330" s="5">
        <f>7322</f>
      </c>
      <c r="B7330" s="5" t="s">
        <v>6572</v>
      </c>
      <c r="C7330" s="5" t="s">
        <v>11</v>
      </c>
      <c r="D7330" s="5" t="s">
        <v>12</v>
      </c>
      <c r="E7330" s="5" t="s">
        <v>3962</v>
      </c>
    </row>
    <row r="7331" spans="1:5" x14ac:dyDescent="0.25">
      <c r="A7331" s="5">
        <f>7323</f>
      </c>
      <c r="B7331" s="5" t="s">
        <v>6573</v>
      </c>
      <c r="C7331" s="5" t="s">
        <v>11</v>
      </c>
      <c r="D7331" s="5" t="s">
        <v>12</v>
      </c>
      <c r="E7331" s="5" t="s">
        <v>3962</v>
      </c>
    </row>
    <row r="7332" spans="1:5" x14ac:dyDescent="0.25">
      <c r="A7332" s="5">
        <f>7324</f>
      </c>
      <c r="B7332" s="5" t="s">
        <v>6574</v>
      </c>
      <c r="C7332" s="5" t="s">
        <v>11</v>
      </c>
      <c r="D7332" s="5" t="s">
        <v>12</v>
      </c>
      <c r="E7332" s="5" t="s">
        <v>3962</v>
      </c>
    </row>
    <row r="7333" spans="1:5" x14ac:dyDescent="0.25">
      <c r="A7333" s="5">
        <f>7325</f>
      </c>
      <c r="B7333" s="5" t="s">
        <v>6575</v>
      </c>
      <c r="C7333" s="5" t="s">
        <v>11</v>
      </c>
      <c r="D7333" s="5" t="s">
        <v>12</v>
      </c>
      <c r="E7333" s="5" t="s">
        <v>3962</v>
      </c>
    </row>
    <row r="7334" spans="1:5" x14ac:dyDescent="0.25">
      <c r="A7334" s="5">
        <f>7326</f>
      </c>
      <c r="B7334" s="5" t="s">
        <v>6576</v>
      </c>
      <c r="C7334" s="5" t="s">
        <v>11</v>
      </c>
      <c r="D7334" s="5" t="s">
        <v>12</v>
      </c>
      <c r="E7334" s="5" t="s">
        <v>3962</v>
      </c>
    </row>
    <row r="7335" spans="1:5" x14ac:dyDescent="0.25">
      <c r="A7335" s="5">
        <f>7327</f>
      </c>
      <c r="B7335" s="5" t="s">
        <v>6577</v>
      </c>
      <c r="C7335" s="5" t="s">
        <v>11</v>
      </c>
      <c r="D7335" s="5" t="s">
        <v>12</v>
      </c>
      <c r="E7335" s="5" t="s">
        <v>3962</v>
      </c>
    </row>
    <row r="7336" spans="1:5" x14ac:dyDescent="0.25">
      <c r="A7336" s="5">
        <f>7328</f>
      </c>
      <c r="B7336" s="5" t="s">
        <v>6578</v>
      </c>
      <c r="C7336" s="5" t="s">
        <v>11</v>
      </c>
      <c r="D7336" s="5" t="s">
        <v>12</v>
      </c>
      <c r="E7336" s="5" t="s">
        <v>3962</v>
      </c>
    </row>
    <row r="7337" spans="1:5" x14ac:dyDescent="0.25">
      <c r="A7337" s="5">
        <f>7329</f>
      </c>
      <c r="B7337" s="5" t="s">
        <v>6579</v>
      </c>
      <c r="C7337" s="5" t="s">
        <v>11</v>
      </c>
      <c r="D7337" s="5" t="s">
        <v>12</v>
      </c>
      <c r="E7337" s="5" t="s">
        <v>3962</v>
      </c>
    </row>
    <row r="7338" spans="1:5" x14ac:dyDescent="0.25">
      <c r="A7338" s="5">
        <f>7330</f>
      </c>
      <c r="B7338" s="5" t="s">
        <v>6580</v>
      </c>
      <c r="C7338" s="5" t="s">
        <v>11</v>
      </c>
      <c r="D7338" s="5" t="s">
        <v>12</v>
      </c>
      <c r="E7338" s="5" t="s">
        <v>3962</v>
      </c>
    </row>
    <row r="7339" spans="1:5" x14ac:dyDescent="0.25">
      <c r="A7339" s="5">
        <f>7331</f>
      </c>
      <c r="B7339" s="5" t="s">
        <v>6581</v>
      </c>
      <c r="C7339" s="5" t="s">
        <v>11</v>
      </c>
      <c r="D7339" s="5" t="s">
        <v>12</v>
      </c>
      <c r="E7339" s="5" t="s">
        <v>3962</v>
      </c>
    </row>
    <row r="7340" spans="1:5" x14ac:dyDescent="0.25">
      <c r="A7340" s="5">
        <f>7332</f>
      </c>
      <c r="B7340" s="5" t="s">
        <v>6582</v>
      </c>
      <c r="C7340" s="5" t="s">
        <v>11</v>
      </c>
      <c r="D7340" s="5" t="s">
        <v>12</v>
      </c>
      <c r="E7340" s="5" t="s">
        <v>3962</v>
      </c>
    </row>
    <row r="7341" spans="1:5" x14ac:dyDescent="0.25">
      <c r="A7341" s="5">
        <f>7333</f>
      </c>
      <c r="B7341" s="5" t="s">
        <v>6583</v>
      </c>
      <c r="C7341" s="5" t="s">
        <v>11</v>
      </c>
      <c r="D7341" s="5" t="s">
        <v>12</v>
      </c>
      <c r="E7341" s="5" t="s">
        <v>3962</v>
      </c>
    </row>
    <row r="7342" spans="1:5" x14ac:dyDescent="0.25">
      <c r="A7342" s="5">
        <f>7334</f>
      </c>
      <c r="B7342" s="5" t="s">
        <v>6584</v>
      </c>
      <c r="C7342" s="5" t="s">
        <v>11</v>
      </c>
      <c r="D7342" s="5" t="s">
        <v>12</v>
      </c>
      <c r="E7342" s="5" t="s">
        <v>3962</v>
      </c>
    </row>
    <row r="7343" spans="1:5" x14ac:dyDescent="0.25">
      <c r="A7343" s="5">
        <f>7335</f>
      </c>
      <c r="B7343" s="5" t="s">
        <v>6585</v>
      </c>
      <c r="C7343" s="5" t="s">
        <v>11</v>
      </c>
      <c r="D7343" s="5" t="s">
        <v>12</v>
      </c>
      <c r="E7343" s="5" t="s">
        <v>3962</v>
      </c>
    </row>
    <row r="7344" spans="1:5" x14ac:dyDescent="0.25">
      <c r="A7344" s="5">
        <f>7336</f>
      </c>
      <c r="B7344" s="5" t="s">
        <v>6586</v>
      </c>
      <c r="C7344" s="5" t="s">
        <v>11</v>
      </c>
      <c r="D7344" s="5" t="s">
        <v>12</v>
      </c>
      <c r="E7344" s="5" t="s">
        <v>3962</v>
      </c>
    </row>
    <row r="7345" spans="1:5" x14ac:dyDescent="0.25">
      <c r="A7345" s="5">
        <f>7337</f>
      </c>
      <c r="B7345" s="5" t="s">
        <v>6587</v>
      </c>
      <c r="C7345" s="5" t="s">
        <v>11</v>
      </c>
      <c r="D7345" s="5" t="s">
        <v>12</v>
      </c>
      <c r="E7345" s="5" t="s">
        <v>3962</v>
      </c>
    </row>
    <row r="7346" spans="1:5" x14ac:dyDescent="0.25">
      <c r="A7346" s="5">
        <f>7338</f>
      </c>
      <c r="B7346" s="5" t="s">
        <v>6588</v>
      </c>
      <c r="C7346" s="5" t="s">
        <v>11</v>
      </c>
      <c r="D7346" s="5" t="s">
        <v>12</v>
      </c>
      <c r="E7346" s="5" t="s">
        <v>3962</v>
      </c>
    </row>
    <row r="7347" spans="1:5" x14ac:dyDescent="0.25">
      <c r="A7347" s="5">
        <f>7339</f>
      </c>
      <c r="B7347" s="5" t="s">
        <v>6589</v>
      </c>
      <c r="C7347" s="5" t="s">
        <v>11</v>
      </c>
      <c r="D7347" s="5" t="s">
        <v>12</v>
      </c>
      <c r="E7347" s="5" t="s">
        <v>3962</v>
      </c>
    </row>
    <row r="7348" spans="1:5" x14ac:dyDescent="0.25">
      <c r="A7348" s="5">
        <f>7340</f>
      </c>
      <c r="B7348" s="5" t="s">
        <v>6590</v>
      </c>
      <c r="C7348" s="5" t="s">
        <v>11</v>
      </c>
      <c r="D7348" s="5" t="s">
        <v>12</v>
      </c>
      <c r="E7348" s="5" t="s">
        <v>3962</v>
      </c>
    </row>
    <row r="7349" spans="1:5" x14ac:dyDescent="0.25">
      <c r="A7349" s="5">
        <f>7341</f>
      </c>
      <c r="B7349" s="5" t="s">
        <v>6591</v>
      </c>
      <c r="C7349" s="5" t="s">
        <v>11</v>
      </c>
      <c r="D7349" s="5" t="s">
        <v>12</v>
      </c>
      <c r="E7349" s="5" t="s">
        <v>3962</v>
      </c>
    </row>
    <row r="7350" spans="1:5" x14ac:dyDescent="0.25">
      <c r="A7350" s="5">
        <f>7342</f>
      </c>
      <c r="B7350" s="5" t="s">
        <v>6592</v>
      </c>
      <c r="C7350" s="5" t="s">
        <v>11</v>
      </c>
      <c r="D7350" s="5" t="s">
        <v>12</v>
      </c>
      <c r="E7350" s="5" t="s">
        <v>3962</v>
      </c>
    </row>
    <row r="7351" spans="1:5" x14ac:dyDescent="0.25">
      <c r="A7351" s="5">
        <f>7343</f>
      </c>
      <c r="B7351" s="5" t="s">
        <v>6593</v>
      </c>
      <c r="C7351" s="5" t="s">
        <v>11</v>
      </c>
      <c r="D7351" s="5" t="s">
        <v>12</v>
      </c>
      <c r="E7351" s="5" t="s">
        <v>3962</v>
      </c>
    </row>
    <row r="7352" spans="1:5" x14ac:dyDescent="0.25">
      <c r="A7352" s="5">
        <f>7344</f>
      </c>
      <c r="B7352" s="5" t="s">
        <v>6594</v>
      </c>
      <c r="C7352" s="5" t="s">
        <v>11</v>
      </c>
      <c r="D7352" s="5" t="s">
        <v>12</v>
      </c>
      <c r="E7352" s="5" t="s">
        <v>3962</v>
      </c>
    </row>
    <row r="7353" spans="1:5" x14ac:dyDescent="0.25">
      <c r="A7353" s="5">
        <f>7345</f>
      </c>
      <c r="B7353" s="5" t="s">
        <v>6595</v>
      </c>
      <c r="C7353" s="5" t="s">
        <v>11</v>
      </c>
      <c r="D7353" s="5" t="s">
        <v>12</v>
      </c>
      <c r="E7353" s="5" t="s">
        <v>3962</v>
      </c>
    </row>
    <row r="7354" spans="1:5" x14ac:dyDescent="0.25">
      <c r="A7354" s="5">
        <f>7346</f>
      </c>
      <c r="B7354" s="5" t="s">
        <v>6596</v>
      </c>
      <c r="C7354" s="5" t="s">
        <v>11</v>
      </c>
      <c r="D7354" s="5" t="s">
        <v>12</v>
      </c>
      <c r="E7354" s="5" t="s">
        <v>3962</v>
      </c>
    </row>
    <row r="7355" spans="1:5" x14ac:dyDescent="0.25">
      <c r="A7355" s="5">
        <f>7347</f>
      </c>
      <c r="B7355" s="5" t="s">
        <v>6597</v>
      </c>
      <c r="C7355" s="5" t="s">
        <v>11</v>
      </c>
      <c r="D7355" s="5" t="s">
        <v>12</v>
      </c>
      <c r="E7355" s="5" t="s">
        <v>3962</v>
      </c>
    </row>
    <row r="7356" spans="1:5" x14ac:dyDescent="0.25">
      <c r="A7356" s="5">
        <f>7348</f>
      </c>
      <c r="B7356" s="5" t="s">
        <v>6598</v>
      </c>
      <c r="C7356" s="5" t="s">
        <v>11</v>
      </c>
      <c r="D7356" s="5" t="s">
        <v>12</v>
      </c>
      <c r="E7356" s="5" t="s">
        <v>3962</v>
      </c>
    </row>
    <row r="7357" spans="1:5" x14ac:dyDescent="0.25">
      <c r="A7357" s="5">
        <f>7349</f>
      </c>
      <c r="B7357" s="5" t="s">
        <v>6599</v>
      </c>
      <c r="C7357" s="5" t="s">
        <v>11</v>
      </c>
      <c r="D7357" s="5" t="s">
        <v>12</v>
      </c>
      <c r="E7357" s="5" t="s">
        <v>3962</v>
      </c>
    </row>
    <row r="7358" spans="1:5" x14ac:dyDescent="0.25">
      <c r="A7358" s="5">
        <f>7350</f>
      </c>
      <c r="B7358" s="5" t="s">
        <v>6600</v>
      </c>
      <c r="C7358" s="5" t="s">
        <v>11</v>
      </c>
      <c r="D7358" s="5" t="s">
        <v>12</v>
      </c>
      <c r="E7358" s="5" t="s">
        <v>3962</v>
      </c>
    </row>
    <row r="7359" spans="1:5" x14ac:dyDescent="0.25">
      <c r="A7359" s="5">
        <f>7351</f>
      </c>
      <c r="B7359" s="5" t="s">
        <v>6601</v>
      </c>
      <c r="C7359" s="5" t="s">
        <v>11</v>
      </c>
      <c r="D7359" s="5" t="s">
        <v>12</v>
      </c>
      <c r="E7359" s="5" t="s">
        <v>3962</v>
      </c>
    </row>
    <row r="7360" spans="1:5" x14ac:dyDescent="0.25">
      <c r="A7360" s="5">
        <f>7352</f>
      </c>
      <c r="B7360" s="5" t="s">
        <v>6602</v>
      </c>
      <c r="C7360" s="5" t="s">
        <v>11</v>
      </c>
      <c r="D7360" s="5" t="s">
        <v>12</v>
      </c>
      <c r="E7360" s="5" t="s">
        <v>3962</v>
      </c>
    </row>
    <row r="7361" spans="1:5" x14ac:dyDescent="0.25">
      <c r="A7361" s="5">
        <f>7353</f>
      </c>
      <c r="B7361" s="5" t="s">
        <v>6603</v>
      </c>
      <c r="C7361" s="5" t="s">
        <v>11</v>
      </c>
      <c r="D7361" s="5" t="s">
        <v>12</v>
      </c>
      <c r="E7361" s="5" t="s">
        <v>3962</v>
      </c>
    </row>
    <row r="7362" spans="1:5" x14ac:dyDescent="0.25">
      <c r="A7362" s="5">
        <f>7354</f>
      </c>
      <c r="B7362" s="5" t="s">
        <v>6604</v>
      </c>
      <c r="C7362" s="5" t="s">
        <v>11</v>
      </c>
      <c r="D7362" s="5" t="s">
        <v>12</v>
      </c>
      <c r="E7362" s="5" t="s">
        <v>3962</v>
      </c>
    </row>
    <row r="7363" spans="1:5" x14ac:dyDescent="0.25">
      <c r="A7363" s="5">
        <f>7355</f>
      </c>
      <c r="B7363" s="5" t="s">
        <v>6605</v>
      </c>
      <c r="C7363" s="5" t="s">
        <v>11</v>
      </c>
      <c r="D7363" s="5" t="s">
        <v>12</v>
      </c>
      <c r="E7363" s="5" t="s">
        <v>3962</v>
      </c>
    </row>
    <row r="7364" spans="1:5" x14ac:dyDescent="0.25">
      <c r="A7364" s="5">
        <f>7356</f>
      </c>
      <c r="B7364" s="5" t="s">
        <v>6606</v>
      </c>
      <c r="C7364" s="5" t="s">
        <v>11</v>
      </c>
      <c r="D7364" s="5" t="s">
        <v>12</v>
      </c>
      <c r="E7364" s="5" t="s">
        <v>3962</v>
      </c>
    </row>
    <row r="7365" spans="1:5" x14ac:dyDescent="0.25">
      <c r="A7365" s="5">
        <f>7357</f>
      </c>
      <c r="B7365" s="5" t="s">
        <v>6607</v>
      </c>
      <c r="C7365" s="5" t="s">
        <v>11</v>
      </c>
      <c r="D7365" s="5" t="s">
        <v>12</v>
      </c>
      <c r="E7365" s="5" t="s">
        <v>3962</v>
      </c>
    </row>
    <row r="7366" spans="1:5" x14ac:dyDescent="0.25">
      <c r="A7366" s="5">
        <f>7358</f>
      </c>
      <c r="B7366" s="5" t="s">
        <v>6608</v>
      </c>
      <c r="C7366" s="5" t="s">
        <v>11</v>
      </c>
      <c r="D7366" s="5" t="s">
        <v>12</v>
      </c>
      <c r="E7366" s="5" t="s">
        <v>3962</v>
      </c>
    </row>
    <row r="7367" spans="1:5" x14ac:dyDescent="0.25">
      <c r="A7367" s="5">
        <f>7359</f>
      </c>
      <c r="B7367" s="5" t="s">
        <v>6609</v>
      </c>
      <c r="C7367" s="5" t="s">
        <v>11</v>
      </c>
      <c r="D7367" s="5" t="s">
        <v>12</v>
      </c>
      <c r="E7367" s="5" t="s">
        <v>3962</v>
      </c>
    </row>
    <row r="7368" spans="1:5" x14ac:dyDescent="0.25">
      <c r="A7368" s="5">
        <f>7360</f>
      </c>
      <c r="B7368" s="5" t="s">
        <v>6610</v>
      </c>
      <c r="C7368" s="5" t="s">
        <v>11</v>
      </c>
      <c r="D7368" s="5" t="s">
        <v>12</v>
      </c>
      <c r="E7368" s="5" t="s">
        <v>3962</v>
      </c>
    </row>
    <row r="7369" spans="1:5" x14ac:dyDescent="0.25">
      <c r="A7369" s="5">
        <f>7361</f>
      </c>
      <c r="B7369" s="5" t="s">
        <v>6611</v>
      </c>
      <c r="C7369" s="5" t="s">
        <v>11</v>
      </c>
      <c r="D7369" s="5" t="s">
        <v>12</v>
      </c>
      <c r="E7369" s="5" t="s">
        <v>3962</v>
      </c>
    </row>
    <row r="7370" spans="1:5" x14ac:dyDescent="0.25">
      <c r="A7370" s="5">
        <f>7362</f>
      </c>
      <c r="B7370" s="5" t="s">
        <v>6612</v>
      </c>
      <c r="C7370" s="5" t="s">
        <v>11</v>
      </c>
      <c r="D7370" s="5" t="s">
        <v>12</v>
      </c>
      <c r="E7370" s="5" t="s">
        <v>3962</v>
      </c>
    </row>
    <row r="7371" spans="1:5" x14ac:dyDescent="0.25">
      <c r="A7371" s="5">
        <f>7363</f>
      </c>
      <c r="B7371" s="5" t="s">
        <v>6613</v>
      </c>
      <c r="C7371" s="5" t="s">
        <v>11</v>
      </c>
      <c r="D7371" s="5" t="s">
        <v>12</v>
      </c>
      <c r="E7371" s="5" t="s">
        <v>3962</v>
      </c>
    </row>
    <row r="7372" spans="1:5" x14ac:dyDescent="0.25">
      <c r="A7372" s="5">
        <f>7364</f>
      </c>
      <c r="B7372" s="5" t="s">
        <v>6614</v>
      </c>
      <c r="C7372" s="5" t="s">
        <v>11</v>
      </c>
      <c r="D7372" s="5" t="s">
        <v>12</v>
      </c>
      <c r="E7372" s="5" t="s">
        <v>3962</v>
      </c>
    </row>
    <row r="7373" spans="1:5" x14ac:dyDescent="0.25">
      <c r="A7373" s="5">
        <f>7365</f>
      </c>
      <c r="B7373" s="5" t="s">
        <v>6615</v>
      </c>
      <c r="C7373" s="5" t="s">
        <v>11</v>
      </c>
      <c r="D7373" s="5" t="s">
        <v>12</v>
      </c>
      <c r="E7373" s="5" t="s">
        <v>3962</v>
      </c>
    </row>
    <row r="7374" spans="1:5" x14ac:dyDescent="0.25">
      <c r="A7374" s="5">
        <f>7366</f>
      </c>
      <c r="B7374" s="5" t="s">
        <v>6616</v>
      </c>
      <c r="C7374" s="5" t="s">
        <v>11</v>
      </c>
      <c r="D7374" s="5" t="s">
        <v>12</v>
      </c>
      <c r="E7374" s="5" t="s">
        <v>3962</v>
      </c>
    </row>
    <row r="7375" spans="1:5" x14ac:dyDescent="0.25">
      <c r="A7375" s="5">
        <f>7367</f>
      </c>
      <c r="B7375" s="5" t="s">
        <v>6617</v>
      </c>
      <c r="C7375" s="5" t="s">
        <v>11</v>
      </c>
      <c r="D7375" s="5" t="s">
        <v>12</v>
      </c>
      <c r="E7375" s="5" t="s">
        <v>3962</v>
      </c>
    </row>
    <row r="7376" spans="1:5" x14ac:dyDescent="0.25">
      <c r="A7376" s="5">
        <f>7368</f>
      </c>
      <c r="B7376" s="5" t="s">
        <v>6618</v>
      </c>
      <c r="C7376" s="5" t="s">
        <v>11</v>
      </c>
      <c r="D7376" s="5" t="s">
        <v>12</v>
      </c>
      <c r="E7376" s="5" t="s">
        <v>3962</v>
      </c>
    </row>
    <row r="7377" spans="1:5" x14ac:dyDescent="0.25">
      <c r="A7377" s="5">
        <f>7369</f>
      </c>
      <c r="B7377" s="5" t="s">
        <v>6619</v>
      </c>
      <c r="C7377" s="5" t="s">
        <v>11</v>
      </c>
      <c r="D7377" s="5" t="s">
        <v>12</v>
      </c>
      <c r="E7377" s="5" t="s">
        <v>3962</v>
      </c>
    </row>
    <row r="7378" spans="1:5" x14ac:dyDescent="0.25">
      <c r="A7378" s="5">
        <f>7370</f>
      </c>
      <c r="B7378" s="5" t="s">
        <v>6620</v>
      </c>
      <c r="C7378" s="5" t="s">
        <v>11</v>
      </c>
      <c r="D7378" s="5" t="s">
        <v>12</v>
      </c>
      <c r="E7378" s="5" t="s">
        <v>3962</v>
      </c>
    </row>
    <row r="7379" spans="1:5" x14ac:dyDescent="0.25">
      <c r="A7379" s="5">
        <f>7371</f>
      </c>
      <c r="B7379" s="5" t="s">
        <v>6621</v>
      </c>
      <c r="C7379" s="5" t="s">
        <v>11</v>
      </c>
      <c r="D7379" s="5" t="s">
        <v>12</v>
      </c>
      <c r="E7379" s="5" t="s">
        <v>3962</v>
      </c>
    </row>
    <row r="7380" spans="1:5" x14ac:dyDescent="0.25">
      <c r="A7380" s="5">
        <f>7372</f>
      </c>
      <c r="B7380" s="5" t="s">
        <v>6622</v>
      </c>
      <c r="C7380" s="5" t="s">
        <v>11</v>
      </c>
      <c r="D7380" s="5" t="s">
        <v>12</v>
      </c>
      <c r="E7380" s="5" t="s">
        <v>3962</v>
      </c>
    </row>
    <row r="7381" spans="1:5" x14ac:dyDescent="0.25">
      <c r="A7381" s="5">
        <f>7373</f>
      </c>
      <c r="B7381" s="5" t="s">
        <v>6623</v>
      </c>
      <c r="C7381" s="5" t="s">
        <v>11</v>
      </c>
      <c r="D7381" s="5" t="s">
        <v>12</v>
      </c>
      <c r="E7381" s="5" t="s">
        <v>3962</v>
      </c>
    </row>
    <row r="7382" spans="1:5" x14ac:dyDescent="0.25">
      <c r="A7382" s="5">
        <f>7374</f>
      </c>
      <c r="B7382" s="5" t="s">
        <v>6624</v>
      </c>
      <c r="C7382" s="5" t="s">
        <v>11</v>
      </c>
      <c r="D7382" s="5" t="s">
        <v>12</v>
      </c>
      <c r="E7382" s="5" t="s">
        <v>3962</v>
      </c>
    </row>
    <row r="7383" spans="1:5" x14ac:dyDescent="0.25">
      <c r="A7383" s="5">
        <f>7375</f>
      </c>
      <c r="B7383" s="5" t="s">
        <v>6625</v>
      </c>
      <c r="C7383" s="5" t="s">
        <v>11</v>
      </c>
      <c r="D7383" s="5" t="s">
        <v>12</v>
      </c>
      <c r="E7383" s="5" t="s">
        <v>3962</v>
      </c>
    </row>
    <row r="7384" spans="1:5" x14ac:dyDescent="0.25">
      <c r="A7384" s="5">
        <f>7376</f>
      </c>
      <c r="B7384" s="5" t="s">
        <v>6626</v>
      </c>
      <c r="C7384" s="5" t="s">
        <v>11</v>
      </c>
      <c r="D7384" s="5" t="s">
        <v>12</v>
      </c>
      <c r="E7384" s="5" t="s">
        <v>3962</v>
      </c>
    </row>
    <row r="7385" spans="1:5" x14ac:dyDescent="0.25">
      <c r="A7385" s="5">
        <f>7377</f>
      </c>
      <c r="B7385" s="5" t="s">
        <v>6627</v>
      </c>
      <c r="C7385" s="5" t="s">
        <v>11</v>
      </c>
      <c r="D7385" s="5" t="s">
        <v>12</v>
      </c>
      <c r="E7385" s="5" t="s">
        <v>3962</v>
      </c>
    </row>
    <row r="7386" spans="1:5" x14ac:dyDescent="0.25">
      <c r="A7386" s="5">
        <f>7378</f>
      </c>
      <c r="B7386" s="5" t="s">
        <v>6628</v>
      </c>
      <c r="C7386" s="5" t="s">
        <v>11</v>
      </c>
      <c r="D7386" s="5" t="s">
        <v>12</v>
      </c>
      <c r="E7386" s="5" t="s">
        <v>3962</v>
      </c>
    </row>
    <row r="7387" spans="1:5" x14ac:dyDescent="0.25">
      <c r="A7387" s="5">
        <f>7379</f>
      </c>
      <c r="B7387" s="5" t="s">
        <v>6629</v>
      </c>
      <c r="C7387" s="5" t="s">
        <v>11</v>
      </c>
      <c r="D7387" s="5" t="s">
        <v>12</v>
      </c>
      <c r="E7387" s="5" t="s">
        <v>3962</v>
      </c>
    </row>
    <row r="7388" spans="1:5" x14ac:dyDescent="0.25">
      <c r="A7388" s="5">
        <f>7380</f>
      </c>
      <c r="B7388" s="5" t="s">
        <v>6630</v>
      </c>
      <c r="C7388" s="5" t="s">
        <v>11</v>
      </c>
      <c r="D7388" s="5" t="s">
        <v>12</v>
      </c>
      <c r="E7388" s="5" t="s">
        <v>3962</v>
      </c>
    </row>
    <row r="7389" spans="1:5" x14ac:dyDescent="0.25">
      <c r="A7389" s="5">
        <f>7381</f>
      </c>
      <c r="B7389" s="5" t="s">
        <v>6631</v>
      </c>
      <c r="C7389" s="5" t="s">
        <v>11</v>
      </c>
      <c r="D7389" s="5" t="s">
        <v>12</v>
      </c>
      <c r="E7389" s="5" t="s">
        <v>3962</v>
      </c>
    </row>
    <row r="7390" spans="1:5" x14ac:dyDescent="0.25">
      <c r="A7390" s="5">
        <f>7382</f>
      </c>
      <c r="B7390" s="5" t="s">
        <v>6632</v>
      </c>
      <c r="C7390" s="5" t="s">
        <v>11</v>
      </c>
      <c r="D7390" s="5" t="s">
        <v>12</v>
      </c>
      <c r="E7390" s="5" t="s">
        <v>3962</v>
      </c>
    </row>
    <row r="7391" spans="1:5" x14ac:dyDescent="0.25">
      <c r="A7391" s="5">
        <f>7383</f>
      </c>
      <c r="B7391" s="5" t="s">
        <v>6633</v>
      </c>
      <c r="C7391" s="5" t="s">
        <v>11</v>
      </c>
      <c r="D7391" s="5" t="s">
        <v>12</v>
      </c>
      <c r="E7391" s="5" t="s">
        <v>3962</v>
      </c>
    </row>
    <row r="7392" spans="1:5" x14ac:dyDescent="0.25">
      <c r="A7392" s="5">
        <f>7384</f>
      </c>
      <c r="B7392" s="5" t="s">
        <v>6634</v>
      </c>
      <c r="C7392" s="5" t="s">
        <v>11</v>
      </c>
      <c r="D7392" s="5" t="s">
        <v>12</v>
      </c>
      <c r="E7392" s="5" t="s">
        <v>3962</v>
      </c>
    </row>
    <row r="7393" spans="1:5" x14ac:dyDescent="0.25">
      <c r="A7393" s="5">
        <f>7385</f>
      </c>
      <c r="B7393" s="5" t="s">
        <v>6635</v>
      </c>
      <c r="C7393" s="5" t="s">
        <v>11</v>
      </c>
      <c r="D7393" s="5" t="s">
        <v>12</v>
      </c>
      <c r="E7393" s="5" t="s">
        <v>3962</v>
      </c>
    </row>
    <row r="7394" spans="1:5" x14ac:dyDescent="0.25">
      <c r="A7394" s="5">
        <f>7386</f>
      </c>
      <c r="B7394" s="5" t="s">
        <v>6636</v>
      </c>
      <c r="C7394" s="5" t="s">
        <v>11</v>
      </c>
      <c r="D7394" s="5" t="s">
        <v>12</v>
      </c>
      <c r="E7394" s="5" t="s">
        <v>3962</v>
      </c>
    </row>
    <row r="7395" spans="1:5" x14ac:dyDescent="0.25">
      <c r="A7395" s="5">
        <f>7387</f>
      </c>
      <c r="B7395" s="5" t="s">
        <v>6637</v>
      </c>
      <c r="C7395" s="5" t="s">
        <v>11</v>
      </c>
      <c r="D7395" s="5" t="s">
        <v>12</v>
      </c>
      <c r="E7395" s="5" t="s">
        <v>3962</v>
      </c>
    </row>
    <row r="7396" spans="1:5" x14ac:dyDescent="0.25">
      <c r="A7396" s="5">
        <f>7388</f>
      </c>
      <c r="B7396" s="5" t="s">
        <v>6638</v>
      </c>
      <c r="C7396" s="5" t="s">
        <v>11</v>
      </c>
      <c r="D7396" s="5" t="s">
        <v>12</v>
      </c>
      <c r="E7396" s="5" t="s">
        <v>3962</v>
      </c>
    </row>
    <row r="7397" spans="1:5" x14ac:dyDescent="0.25">
      <c r="A7397" s="5">
        <f>7389</f>
      </c>
      <c r="B7397" s="5" t="s">
        <v>6639</v>
      </c>
      <c r="C7397" s="5" t="s">
        <v>11</v>
      </c>
      <c r="D7397" s="5" t="s">
        <v>12</v>
      </c>
      <c r="E7397" s="5" t="s">
        <v>3962</v>
      </c>
    </row>
    <row r="7398" spans="1:5" x14ac:dyDescent="0.25">
      <c r="A7398" s="5">
        <f>7390</f>
      </c>
      <c r="B7398" s="5" t="s">
        <v>6640</v>
      </c>
      <c r="C7398" s="5" t="s">
        <v>11</v>
      </c>
      <c r="D7398" s="5" t="s">
        <v>12</v>
      </c>
      <c r="E7398" s="5" t="s">
        <v>3962</v>
      </c>
    </row>
    <row r="7399" spans="1:5" x14ac:dyDescent="0.25">
      <c r="A7399" s="5">
        <f>7391</f>
      </c>
      <c r="B7399" s="5" t="s">
        <v>6641</v>
      </c>
      <c r="C7399" s="5" t="s">
        <v>11</v>
      </c>
      <c r="D7399" s="5" t="s">
        <v>12</v>
      </c>
      <c r="E7399" s="5" t="s">
        <v>3962</v>
      </c>
    </row>
    <row r="7400" spans="1:5" x14ac:dyDescent="0.25">
      <c r="A7400" s="5">
        <f>7392</f>
      </c>
      <c r="B7400" s="5" t="s">
        <v>6642</v>
      </c>
      <c r="C7400" s="5" t="s">
        <v>11</v>
      </c>
      <c r="D7400" s="5" t="s">
        <v>12</v>
      </c>
      <c r="E7400" s="5" t="s">
        <v>3962</v>
      </c>
    </row>
    <row r="7401" spans="1:5" x14ac:dyDescent="0.25">
      <c r="A7401" s="5">
        <f>7393</f>
      </c>
      <c r="B7401" s="5" t="s">
        <v>6643</v>
      </c>
      <c r="C7401" s="5" t="s">
        <v>11</v>
      </c>
      <c r="D7401" s="5" t="s">
        <v>12</v>
      </c>
      <c r="E7401" s="5" t="s">
        <v>3962</v>
      </c>
    </row>
    <row r="7402" spans="1:5" x14ac:dyDescent="0.25">
      <c r="A7402" s="5">
        <f>7394</f>
      </c>
      <c r="B7402" s="5" t="s">
        <v>6644</v>
      </c>
      <c r="C7402" s="5" t="s">
        <v>11</v>
      </c>
      <c r="D7402" s="5" t="s">
        <v>12</v>
      </c>
      <c r="E7402" s="5" t="s">
        <v>3962</v>
      </c>
    </row>
    <row r="7403" spans="1:5" x14ac:dyDescent="0.25">
      <c r="A7403" s="5">
        <f>7395</f>
      </c>
      <c r="B7403" s="5" t="s">
        <v>6645</v>
      </c>
      <c r="C7403" s="5" t="s">
        <v>11</v>
      </c>
      <c r="D7403" s="5" t="s">
        <v>12</v>
      </c>
      <c r="E7403" s="5" t="s">
        <v>3962</v>
      </c>
    </row>
    <row r="7404" spans="1:5" x14ac:dyDescent="0.25">
      <c r="A7404" s="5">
        <f>7396</f>
      </c>
      <c r="B7404" s="5" t="s">
        <v>6646</v>
      </c>
      <c r="C7404" s="5" t="s">
        <v>11</v>
      </c>
      <c r="D7404" s="5" t="s">
        <v>12</v>
      </c>
      <c r="E7404" s="5" t="s">
        <v>3962</v>
      </c>
    </row>
    <row r="7405" spans="1:5" x14ac:dyDescent="0.25">
      <c r="A7405" s="5">
        <f>7397</f>
      </c>
      <c r="B7405" s="5" t="s">
        <v>6647</v>
      </c>
      <c r="C7405" s="5" t="s">
        <v>11</v>
      </c>
      <c r="D7405" s="5" t="s">
        <v>12</v>
      </c>
      <c r="E7405" s="5" t="s">
        <v>3962</v>
      </c>
    </row>
    <row r="7406" spans="1:5" x14ac:dyDescent="0.25">
      <c r="A7406" s="5">
        <f>7398</f>
      </c>
      <c r="B7406" s="5" t="s">
        <v>6648</v>
      </c>
      <c r="C7406" s="5" t="s">
        <v>11</v>
      </c>
      <c r="D7406" s="5" t="s">
        <v>12</v>
      </c>
      <c r="E7406" s="5" t="s">
        <v>3962</v>
      </c>
    </row>
    <row r="7407" spans="1:5" x14ac:dyDescent="0.25">
      <c r="A7407" s="5">
        <f>7399</f>
      </c>
      <c r="B7407" s="5" t="s">
        <v>6649</v>
      </c>
      <c r="C7407" s="5" t="s">
        <v>11</v>
      </c>
      <c r="D7407" s="5" t="s">
        <v>12</v>
      </c>
      <c r="E7407" s="5" t="s">
        <v>3962</v>
      </c>
    </row>
    <row r="7408" spans="1:5" x14ac:dyDescent="0.25">
      <c r="A7408" s="5">
        <f>7400</f>
      </c>
      <c r="B7408" s="5" t="s">
        <v>6650</v>
      </c>
      <c r="C7408" s="5" t="s">
        <v>11</v>
      </c>
      <c r="D7408" s="5" t="s">
        <v>12</v>
      </c>
      <c r="E7408" s="5" t="s">
        <v>3962</v>
      </c>
    </row>
    <row r="7409" spans="1:5" x14ac:dyDescent="0.25">
      <c r="A7409" s="5">
        <f>7401</f>
      </c>
      <c r="B7409" s="5" t="s">
        <v>6651</v>
      </c>
      <c r="C7409" s="5" t="s">
        <v>11</v>
      </c>
      <c r="D7409" s="5" t="s">
        <v>12</v>
      </c>
      <c r="E7409" s="5" t="s">
        <v>3962</v>
      </c>
    </row>
    <row r="7410" spans="1:5" x14ac:dyDescent="0.25">
      <c r="A7410" s="5">
        <f>7402</f>
      </c>
      <c r="B7410" s="5" t="s">
        <v>6652</v>
      </c>
      <c r="C7410" s="5" t="s">
        <v>11</v>
      </c>
      <c r="D7410" s="5" t="s">
        <v>12</v>
      </c>
      <c r="E7410" s="5" t="s">
        <v>3962</v>
      </c>
    </row>
    <row r="7411" spans="1:5" x14ac:dyDescent="0.25">
      <c r="A7411" s="5">
        <f>7403</f>
      </c>
      <c r="B7411" s="5" t="s">
        <v>6653</v>
      </c>
      <c r="C7411" s="5" t="s">
        <v>11</v>
      </c>
      <c r="D7411" s="5" t="s">
        <v>12</v>
      </c>
      <c r="E7411" s="5" t="s">
        <v>3962</v>
      </c>
    </row>
    <row r="7412" spans="1:5" x14ac:dyDescent="0.25">
      <c r="A7412" s="5">
        <f>7404</f>
      </c>
      <c r="B7412" s="5" t="s">
        <v>6654</v>
      </c>
      <c r="C7412" s="5" t="s">
        <v>11</v>
      </c>
      <c r="D7412" s="5" t="s">
        <v>12</v>
      </c>
      <c r="E7412" s="5" t="s">
        <v>3962</v>
      </c>
    </row>
    <row r="7413" spans="1:5" x14ac:dyDescent="0.25">
      <c r="A7413" s="5">
        <f>7405</f>
      </c>
      <c r="B7413" s="5" t="s">
        <v>6655</v>
      </c>
      <c r="C7413" s="5" t="s">
        <v>11</v>
      </c>
      <c r="D7413" s="5" t="s">
        <v>12</v>
      </c>
      <c r="E7413" s="5" t="s">
        <v>3962</v>
      </c>
    </row>
    <row r="7414" spans="1:5" x14ac:dyDescent="0.25">
      <c r="A7414" s="5">
        <f>7406</f>
      </c>
      <c r="B7414" s="5" t="s">
        <v>6656</v>
      </c>
      <c r="C7414" s="5" t="s">
        <v>11</v>
      </c>
      <c r="D7414" s="5" t="s">
        <v>12</v>
      </c>
      <c r="E7414" s="5" t="s">
        <v>3962</v>
      </c>
    </row>
    <row r="7415" spans="1:5" x14ac:dyDescent="0.25">
      <c r="A7415" s="5">
        <f>7407</f>
      </c>
      <c r="B7415" s="5" t="s">
        <v>6657</v>
      </c>
      <c r="C7415" s="5" t="s">
        <v>11</v>
      </c>
      <c r="D7415" s="5" t="s">
        <v>12</v>
      </c>
      <c r="E7415" s="5" t="s">
        <v>3962</v>
      </c>
    </row>
    <row r="7416" spans="1:5" x14ac:dyDescent="0.25">
      <c r="A7416" s="5">
        <f>7408</f>
      </c>
      <c r="B7416" s="5" t="s">
        <v>6658</v>
      </c>
      <c r="C7416" s="5" t="s">
        <v>11</v>
      </c>
      <c r="D7416" s="5" t="s">
        <v>12</v>
      </c>
      <c r="E7416" s="5" t="s">
        <v>3962</v>
      </c>
    </row>
    <row r="7417" spans="1:5" x14ac:dyDescent="0.25">
      <c r="A7417" s="5">
        <f>7409</f>
      </c>
      <c r="B7417" s="5" t="s">
        <v>6659</v>
      </c>
      <c r="C7417" s="5" t="s">
        <v>11</v>
      </c>
      <c r="D7417" s="5" t="s">
        <v>12</v>
      </c>
      <c r="E7417" s="5" t="s">
        <v>3962</v>
      </c>
    </row>
    <row r="7418" spans="1:5" x14ac:dyDescent="0.25">
      <c r="A7418" s="5">
        <f>7410</f>
      </c>
      <c r="B7418" s="5" t="s">
        <v>6660</v>
      </c>
      <c r="C7418" s="5" t="s">
        <v>11</v>
      </c>
      <c r="D7418" s="5" t="s">
        <v>12</v>
      </c>
      <c r="E7418" s="5" t="s">
        <v>3962</v>
      </c>
    </row>
    <row r="7419" spans="1:5" x14ac:dyDescent="0.25">
      <c r="A7419" s="5">
        <f>7411</f>
      </c>
      <c r="B7419" s="5" t="s">
        <v>6661</v>
      </c>
      <c r="C7419" s="5" t="s">
        <v>11</v>
      </c>
      <c r="D7419" s="5" t="s">
        <v>12</v>
      </c>
      <c r="E7419" s="5" t="s">
        <v>3962</v>
      </c>
    </row>
    <row r="7420" spans="1:5" x14ac:dyDescent="0.25">
      <c r="A7420" s="5">
        <f>7412</f>
      </c>
      <c r="B7420" s="5" t="s">
        <v>6662</v>
      </c>
      <c r="C7420" s="5" t="s">
        <v>11</v>
      </c>
      <c r="D7420" s="5" t="s">
        <v>12</v>
      </c>
      <c r="E7420" s="5" t="s">
        <v>3962</v>
      </c>
    </row>
    <row r="7421" spans="1:5" x14ac:dyDescent="0.25">
      <c r="A7421" s="5">
        <f>7413</f>
      </c>
      <c r="B7421" s="5" t="s">
        <v>6663</v>
      </c>
      <c r="C7421" s="5" t="s">
        <v>11</v>
      </c>
      <c r="D7421" s="5" t="s">
        <v>12</v>
      </c>
      <c r="E7421" s="5" t="s">
        <v>3962</v>
      </c>
    </row>
    <row r="7422" spans="1:5" x14ac:dyDescent="0.25">
      <c r="A7422" s="5">
        <f>7414</f>
      </c>
      <c r="B7422" s="5" t="s">
        <v>6664</v>
      </c>
      <c r="C7422" s="5" t="s">
        <v>11</v>
      </c>
      <c r="D7422" s="5" t="s">
        <v>12</v>
      </c>
      <c r="E7422" s="5" t="s">
        <v>3962</v>
      </c>
    </row>
    <row r="7423" spans="1:5" x14ac:dyDescent="0.25">
      <c r="A7423" s="5">
        <f>7415</f>
      </c>
      <c r="B7423" s="5" t="s">
        <v>6665</v>
      </c>
      <c r="C7423" s="5" t="s">
        <v>11</v>
      </c>
      <c r="D7423" s="5" t="s">
        <v>12</v>
      </c>
      <c r="E7423" s="5" t="s">
        <v>3962</v>
      </c>
    </row>
    <row r="7424" spans="1:5" x14ac:dyDescent="0.25">
      <c r="A7424" s="5">
        <f>7416</f>
      </c>
      <c r="B7424" s="5" t="s">
        <v>6666</v>
      </c>
      <c r="C7424" s="5" t="s">
        <v>11</v>
      </c>
      <c r="D7424" s="5" t="s">
        <v>12</v>
      </c>
      <c r="E7424" s="5" t="s">
        <v>3962</v>
      </c>
    </row>
    <row r="7425" spans="1:5" x14ac:dyDescent="0.25">
      <c r="A7425" s="5">
        <f>7417</f>
      </c>
      <c r="B7425" s="5" t="s">
        <v>6667</v>
      </c>
      <c r="C7425" s="5" t="s">
        <v>11</v>
      </c>
      <c r="D7425" s="5" t="s">
        <v>12</v>
      </c>
      <c r="E7425" s="5" t="s">
        <v>3962</v>
      </c>
    </row>
    <row r="7426" spans="1:5" x14ac:dyDescent="0.25">
      <c r="A7426" s="5">
        <f>7418</f>
      </c>
      <c r="B7426" s="5" t="s">
        <v>6668</v>
      </c>
      <c r="C7426" s="5" t="s">
        <v>11</v>
      </c>
      <c r="D7426" s="5" t="s">
        <v>12</v>
      </c>
      <c r="E7426" s="5" t="s">
        <v>3962</v>
      </c>
    </row>
    <row r="7427" spans="1:5" x14ac:dyDescent="0.25">
      <c r="A7427" s="5">
        <f>7419</f>
      </c>
      <c r="B7427" s="5" t="s">
        <v>6669</v>
      </c>
      <c r="C7427" s="5" t="s">
        <v>11</v>
      </c>
      <c r="D7427" s="5" t="s">
        <v>12</v>
      </c>
      <c r="E7427" s="5" t="s">
        <v>3962</v>
      </c>
    </row>
    <row r="7428" spans="1:5" x14ac:dyDescent="0.25">
      <c r="A7428" s="5">
        <f>7420</f>
      </c>
      <c r="B7428" s="5" t="s">
        <v>6670</v>
      </c>
      <c r="C7428" s="5" t="s">
        <v>11</v>
      </c>
      <c r="D7428" s="5" t="s">
        <v>12</v>
      </c>
      <c r="E7428" s="5" t="s">
        <v>3962</v>
      </c>
    </row>
    <row r="7429" spans="1:5" x14ac:dyDescent="0.25">
      <c r="A7429" s="5">
        <f>7421</f>
      </c>
      <c r="B7429" s="5" t="s">
        <v>6671</v>
      </c>
      <c r="C7429" s="5" t="s">
        <v>11</v>
      </c>
      <c r="D7429" s="5" t="s">
        <v>12</v>
      </c>
      <c r="E7429" s="5" t="s">
        <v>3962</v>
      </c>
    </row>
    <row r="7430" spans="1:5" x14ac:dyDescent="0.25">
      <c r="A7430" s="5">
        <f>7422</f>
      </c>
      <c r="B7430" s="5" t="s">
        <v>6672</v>
      </c>
      <c r="C7430" s="5" t="s">
        <v>11</v>
      </c>
      <c r="D7430" s="5" t="s">
        <v>12</v>
      </c>
      <c r="E7430" s="5" t="s">
        <v>3962</v>
      </c>
    </row>
    <row r="7431" spans="1:5" x14ac:dyDescent="0.25">
      <c r="A7431" s="5">
        <f>7423</f>
      </c>
      <c r="B7431" s="5" t="s">
        <v>6673</v>
      </c>
      <c r="C7431" s="5" t="s">
        <v>11</v>
      </c>
      <c r="D7431" s="5" t="s">
        <v>12</v>
      </c>
      <c r="E7431" s="5" t="s">
        <v>3962</v>
      </c>
    </row>
    <row r="7432" spans="1:5" x14ac:dyDescent="0.25">
      <c r="A7432" s="5">
        <f>7424</f>
      </c>
      <c r="B7432" s="5" t="s">
        <v>6674</v>
      </c>
      <c r="C7432" s="5" t="s">
        <v>11</v>
      </c>
      <c r="D7432" s="5" t="s">
        <v>12</v>
      </c>
      <c r="E7432" s="5" t="s">
        <v>3962</v>
      </c>
    </row>
    <row r="7433" spans="1:5" x14ac:dyDescent="0.25">
      <c r="A7433" s="5">
        <f>7425</f>
      </c>
      <c r="B7433" s="5" t="s">
        <v>6675</v>
      </c>
      <c r="C7433" s="5" t="s">
        <v>11</v>
      </c>
      <c r="D7433" s="5" t="s">
        <v>12</v>
      </c>
      <c r="E7433" s="5" t="s">
        <v>3962</v>
      </c>
    </row>
    <row r="7434" spans="1:5" x14ac:dyDescent="0.25">
      <c r="A7434" s="5">
        <f>7426</f>
      </c>
      <c r="B7434" s="5" t="s">
        <v>6676</v>
      </c>
      <c r="C7434" s="5" t="s">
        <v>11</v>
      </c>
      <c r="D7434" s="5" t="s">
        <v>12</v>
      </c>
      <c r="E7434" s="5" t="s">
        <v>3962</v>
      </c>
    </row>
    <row r="7435" spans="1:5" x14ac:dyDescent="0.25">
      <c r="A7435" s="5">
        <f>7427</f>
      </c>
      <c r="B7435" s="5" t="s">
        <v>6677</v>
      </c>
      <c r="C7435" s="5" t="s">
        <v>11</v>
      </c>
      <c r="D7435" s="5" t="s">
        <v>12</v>
      </c>
      <c r="E7435" s="5" t="s">
        <v>3962</v>
      </c>
    </row>
    <row r="7436" spans="1:5" x14ac:dyDescent="0.25">
      <c r="A7436" s="5">
        <f>7428</f>
      </c>
      <c r="B7436" s="5" t="s">
        <v>6678</v>
      </c>
      <c r="C7436" s="5" t="s">
        <v>11</v>
      </c>
      <c r="D7436" s="5" t="s">
        <v>12</v>
      </c>
      <c r="E7436" s="5" t="s">
        <v>3962</v>
      </c>
    </row>
    <row r="7437" spans="1:5" x14ac:dyDescent="0.25">
      <c r="A7437" s="5">
        <f>7429</f>
      </c>
      <c r="B7437" s="5" t="s">
        <v>6679</v>
      </c>
      <c r="C7437" s="5" t="s">
        <v>11</v>
      </c>
      <c r="D7437" s="5" t="s">
        <v>12</v>
      </c>
      <c r="E7437" s="5" t="s">
        <v>3962</v>
      </c>
    </row>
    <row r="7438" spans="1:5" x14ac:dyDescent="0.25">
      <c r="A7438" s="5">
        <f>7430</f>
      </c>
      <c r="B7438" s="5" t="s">
        <v>6680</v>
      </c>
      <c r="C7438" s="5" t="s">
        <v>11</v>
      </c>
      <c r="D7438" s="5" t="s">
        <v>12</v>
      </c>
      <c r="E7438" s="5" t="s">
        <v>3962</v>
      </c>
    </row>
    <row r="7439" spans="1:5" x14ac:dyDescent="0.25">
      <c r="A7439" s="5">
        <f>7431</f>
      </c>
      <c r="B7439" s="5" t="s">
        <v>6681</v>
      </c>
      <c r="C7439" s="5" t="s">
        <v>11</v>
      </c>
      <c r="D7439" s="5" t="s">
        <v>12</v>
      </c>
      <c r="E7439" s="5" t="s">
        <v>3962</v>
      </c>
    </row>
    <row r="7440" spans="1:5" x14ac:dyDescent="0.25">
      <c r="A7440" s="5">
        <f>7432</f>
      </c>
      <c r="B7440" s="5" t="s">
        <v>6682</v>
      </c>
      <c r="C7440" s="5" t="s">
        <v>11</v>
      </c>
      <c r="D7440" s="5" t="s">
        <v>12</v>
      </c>
      <c r="E7440" s="5" t="s">
        <v>3962</v>
      </c>
    </row>
    <row r="7441" spans="1:5" x14ac:dyDescent="0.25">
      <c r="A7441" s="5">
        <f>7433</f>
      </c>
      <c r="B7441" s="5" t="s">
        <v>6683</v>
      </c>
      <c r="C7441" s="5" t="s">
        <v>11</v>
      </c>
      <c r="D7441" s="5" t="s">
        <v>12</v>
      </c>
      <c r="E7441" s="5" t="s">
        <v>3962</v>
      </c>
    </row>
    <row r="7442" spans="1:5" x14ac:dyDescent="0.25">
      <c r="A7442" s="5">
        <f>7434</f>
      </c>
      <c r="B7442" s="5" t="s">
        <v>6684</v>
      </c>
      <c r="C7442" s="5" t="s">
        <v>11</v>
      </c>
      <c r="D7442" s="5" t="s">
        <v>12</v>
      </c>
      <c r="E7442" s="5" t="s">
        <v>3962</v>
      </c>
    </row>
    <row r="7443" spans="1:5" x14ac:dyDescent="0.25">
      <c r="A7443" s="5">
        <f>7435</f>
      </c>
      <c r="B7443" s="5" t="s">
        <v>6685</v>
      </c>
      <c r="C7443" s="5" t="s">
        <v>11</v>
      </c>
      <c r="D7443" s="5" t="s">
        <v>12</v>
      </c>
      <c r="E7443" s="5" t="s">
        <v>3962</v>
      </c>
    </row>
    <row r="7444" spans="1:5" x14ac:dyDescent="0.25">
      <c r="A7444" s="5">
        <f>7436</f>
      </c>
      <c r="B7444" s="5" t="s">
        <v>6686</v>
      </c>
      <c r="C7444" s="5" t="s">
        <v>11</v>
      </c>
      <c r="D7444" s="5" t="s">
        <v>12</v>
      </c>
      <c r="E7444" s="5" t="s">
        <v>3962</v>
      </c>
    </row>
    <row r="7445" spans="1:5" x14ac:dyDescent="0.25">
      <c r="A7445" s="5">
        <f>7437</f>
      </c>
      <c r="B7445" s="5" t="s">
        <v>6687</v>
      </c>
      <c r="C7445" s="5" t="s">
        <v>11</v>
      </c>
      <c r="D7445" s="5" t="s">
        <v>12</v>
      </c>
      <c r="E7445" s="5" t="s">
        <v>3962</v>
      </c>
    </row>
    <row r="7446" spans="1:5" x14ac:dyDescent="0.25">
      <c r="A7446" s="5">
        <f>7438</f>
      </c>
      <c r="B7446" s="5" t="s">
        <v>6688</v>
      </c>
      <c r="C7446" s="5" t="s">
        <v>11</v>
      </c>
      <c r="D7446" s="5" t="s">
        <v>12</v>
      </c>
      <c r="E7446" s="5" t="s">
        <v>3962</v>
      </c>
    </row>
    <row r="7447" spans="1:5" x14ac:dyDescent="0.25">
      <c r="A7447" s="5">
        <f>7439</f>
      </c>
      <c r="B7447" s="5" t="s">
        <v>6689</v>
      </c>
      <c r="C7447" s="5" t="s">
        <v>11</v>
      </c>
      <c r="D7447" s="5" t="s">
        <v>12</v>
      </c>
      <c r="E7447" s="5" t="s">
        <v>3962</v>
      </c>
    </row>
    <row r="7448" spans="1:5" x14ac:dyDescent="0.25">
      <c r="A7448" s="5">
        <f>7440</f>
      </c>
      <c r="B7448" s="5" t="s">
        <v>6690</v>
      </c>
      <c r="C7448" s="5" t="s">
        <v>11</v>
      </c>
      <c r="D7448" s="5" t="s">
        <v>12</v>
      </c>
      <c r="E7448" s="5" t="s">
        <v>3962</v>
      </c>
    </row>
    <row r="7449" spans="1:5" x14ac:dyDescent="0.25">
      <c r="A7449" s="5">
        <f>7441</f>
      </c>
      <c r="B7449" s="5" t="s">
        <v>6691</v>
      </c>
      <c r="C7449" s="5" t="s">
        <v>11</v>
      </c>
      <c r="D7449" s="5" t="s">
        <v>12</v>
      </c>
      <c r="E7449" s="5" t="s">
        <v>3962</v>
      </c>
    </row>
    <row r="7450" spans="1:5" x14ac:dyDescent="0.25">
      <c r="A7450" s="5">
        <f>7442</f>
      </c>
      <c r="B7450" s="5" t="s">
        <v>6692</v>
      </c>
      <c r="C7450" s="5" t="s">
        <v>11</v>
      </c>
      <c r="D7450" s="5" t="s">
        <v>12</v>
      </c>
      <c r="E7450" s="5" t="s">
        <v>3962</v>
      </c>
    </row>
    <row r="7451" spans="1:5" x14ac:dyDescent="0.25">
      <c r="A7451" s="5">
        <f>7443</f>
      </c>
      <c r="B7451" s="5" t="s">
        <v>6693</v>
      </c>
      <c r="C7451" s="5" t="s">
        <v>11</v>
      </c>
      <c r="D7451" s="5" t="s">
        <v>12</v>
      </c>
      <c r="E7451" s="5" t="s">
        <v>3962</v>
      </c>
    </row>
    <row r="7452" spans="1:5" x14ac:dyDescent="0.25">
      <c r="A7452" s="5">
        <f>7444</f>
      </c>
      <c r="B7452" s="5" t="s">
        <v>6694</v>
      </c>
      <c r="C7452" s="5" t="s">
        <v>11</v>
      </c>
      <c r="D7452" s="5" t="s">
        <v>12</v>
      </c>
      <c r="E7452" s="5" t="s">
        <v>3962</v>
      </c>
    </row>
    <row r="7453" spans="1:5" x14ac:dyDescent="0.25">
      <c r="A7453" s="5">
        <f>7445</f>
      </c>
      <c r="B7453" s="5" t="s">
        <v>6695</v>
      </c>
      <c r="C7453" s="5" t="s">
        <v>11</v>
      </c>
      <c r="D7453" s="5" t="s">
        <v>12</v>
      </c>
      <c r="E7453" s="5" t="s">
        <v>3962</v>
      </c>
    </row>
    <row r="7454" spans="1:5" x14ac:dyDescent="0.25">
      <c r="A7454" s="5">
        <f>7446</f>
      </c>
      <c r="B7454" s="5" t="s">
        <v>6696</v>
      </c>
      <c r="C7454" s="5" t="s">
        <v>11</v>
      </c>
      <c r="D7454" s="5" t="s">
        <v>12</v>
      </c>
      <c r="E7454" s="5" t="s">
        <v>3962</v>
      </c>
    </row>
    <row r="7455" spans="1:5" x14ac:dyDescent="0.25">
      <c r="A7455" s="5">
        <f>7447</f>
      </c>
      <c r="B7455" s="5" t="s">
        <v>6697</v>
      </c>
      <c r="C7455" s="5" t="s">
        <v>11</v>
      </c>
      <c r="D7455" s="5" t="s">
        <v>12</v>
      </c>
      <c r="E7455" s="5" t="s">
        <v>3962</v>
      </c>
    </row>
    <row r="7456" spans="1:5" x14ac:dyDescent="0.25">
      <c r="A7456" s="5">
        <f>7448</f>
      </c>
      <c r="B7456" s="5" t="s">
        <v>6698</v>
      </c>
      <c r="C7456" s="5" t="s">
        <v>11</v>
      </c>
      <c r="D7456" s="5" t="s">
        <v>12</v>
      </c>
      <c r="E7456" s="5" t="s">
        <v>3962</v>
      </c>
    </row>
    <row r="7457" spans="1:5" x14ac:dyDescent="0.25">
      <c r="A7457" s="5">
        <f>7449</f>
      </c>
      <c r="B7457" s="5" t="s">
        <v>6699</v>
      </c>
      <c r="C7457" s="5" t="s">
        <v>11</v>
      </c>
      <c r="D7457" s="5" t="s">
        <v>12</v>
      </c>
      <c r="E7457" s="5" t="s">
        <v>3962</v>
      </c>
    </row>
    <row r="7458" spans="1:5" x14ac:dyDescent="0.25">
      <c r="A7458" s="5">
        <f>7450</f>
      </c>
      <c r="B7458" s="5" t="s">
        <v>6700</v>
      </c>
      <c r="C7458" s="5" t="s">
        <v>11</v>
      </c>
      <c r="D7458" s="5" t="s">
        <v>12</v>
      </c>
      <c r="E7458" s="5" t="s">
        <v>3962</v>
      </c>
    </row>
    <row r="7459" spans="1:5" x14ac:dyDescent="0.25">
      <c r="A7459" s="5">
        <f>7451</f>
      </c>
      <c r="B7459" s="5" t="s">
        <v>6701</v>
      </c>
      <c r="C7459" s="5" t="s">
        <v>11</v>
      </c>
      <c r="D7459" s="5" t="s">
        <v>12</v>
      </c>
      <c r="E7459" s="5" t="s">
        <v>3962</v>
      </c>
    </row>
    <row r="7460" spans="1:5" x14ac:dyDescent="0.25">
      <c r="A7460" s="5">
        <f>7452</f>
      </c>
      <c r="B7460" s="5" t="s">
        <v>6702</v>
      </c>
      <c r="C7460" s="5" t="s">
        <v>11</v>
      </c>
      <c r="D7460" s="5" t="s">
        <v>12</v>
      </c>
      <c r="E7460" s="5" t="s">
        <v>3962</v>
      </c>
    </row>
    <row r="7461" spans="1:5" x14ac:dyDescent="0.25">
      <c r="A7461" s="5">
        <f>7453</f>
      </c>
      <c r="B7461" s="5" t="s">
        <v>6703</v>
      </c>
      <c r="C7461" s="5" t="s">
        <v>11</v>
      </c>
      <c r="D7461" s="5" t="s">
        <v>12</v>
      </c>
      <c r="E7461" s="5" t="s">
        <v>3962</v>
      </c>
    </row>
    <row r="7462" spans="1:5" x14ac:dyDescent="0.25">
      <c r="A7462" s="5">
        <f>7454</f>
      </c>
      <c r="B7462" s="5" t="s">
        <v>6704</v>
      </c>
      <c r="C7462" s="5" t="s">
        <v>11</v>
      </c>
      <c r="D7462" s="5" t="s">
        <v>12</v>
      </c>
      <c r="E7462" s="5" t="s">
        <v>3962</v>
      </c>
    </row>
    <row r="7463" spans="1:5" x14ac:dyDescent="0.25">
      <c r="A7463" s="5">
        <f>7455</f>
      </c>
      <c r="B7463" s="5" t="s">
        <v>6705</v>
      </c>
      <c r="C7463" s="5" t="s">
        <v>11</v>
      </c>
      <c r="D7463" s="5" t="s">
        <v>12</v>
      </c>
      <c r="E7463" s="5" t="s">
        <v>3962</v>
      </c>
    </row>
    <row r="7464" spans="1:5" x14ac:dyDescent="0.25">
      <c r="A7464" s="5">
        <f>7456</f>
      </c>
      <c r="B7464" s="5" t="s">
        <v>6706</v>
      </c>
      <c r="C7464" s="5" t="s">
        <v>11</v>
      </c>
      <c r="D7464" s="5" t="s">
        <v>12</v>
      </c>
      <c r="E7464" s="5" t="s">
        <v>3962</v>
      </c>
    </row>
    <row r="7465" spans="1:5" x14ac:dyDescent="0.25">
      <c r="A7465" s="5">
        <f>7457</f>
      </c>
      <c r="B7465" s="5" t="s">
        <v>6707</v>
      </c>
      <c r="C7465" s="5" t="s">
        <v>11</v>
      </c>
      <c r="D7465" s="5" t="s">
        <v>12</v>
      </c>
      <c r="E7465" s="5" t="s">
        <v>3962</v>
      </c>
    </row>
    <row r="7466" spans="1:5" x14ac:dyDescent="0.25">
      <c r="A7466" s="5">
        <f>7458</f>
      </c>
      <c r="B7466" s="5" t="s">
        <v>6708</v>
      </c>
      <c r="C7466" s="5" t="s">
        <v>11</v>
      </c>
      <c r="D7466" s="5" t="s">
        <v>12</v>
      </c>
      <c r="E7466" s="5" t="s">
        <v>3962</v>
      </c>
    </row>
    <row r="7467" spans="1:5" x14ac:dyDescent="0.25">
      <c r="A7467" s="5">
        <f>7459</f>
      </c>
      <c r="B7467" s="5" t="s">
        <v>6709</v>
      </c>
      <c r="C7467" s="5" t="s">
        <v>11</v>
      </c>
      <c r="D7467" s="5" t="s">
        <v>12</v>
      </c>
      <c r="E7467" s="5" t="s">
        <v>3962</v>
      </c>
    </row>
    <row r="7468" spans="1:5" x14ac:dyDescent="0.25">
      <c r="A7468" s="5">
        <f>7460</f>
      </c>
      <c r="B7468" s="5" t="s">
        <v>6710</v>
      </c>
      <c r="C7468" s="5" t="s">
        <v>11</v>
      </c>
      <c r="D7468" s="5" t="s">
        <v>12</v>
      </c>
      <c r="E7468" s="5" t="s">
        <v>3962</v>
      </c>
    </row>
    <row r="7469" spans="1:5" x14ac:dyDescent="0.25">
      <c r="A7469" s="5">
        <f>7461</f>
      </c>
      <c r="B7469" s="5" t="s">
        <v>6711</v>
      </c>
      <c r="C7469" s="5" t="s">
        <v>11</v>
      </c>
      <c r="D7469" s="5" t="s">
        <v>12</v>
      </c>
      <c r="E7469" s="5" t="s">
        <v>3962</v>
      </c>
    </row>
    <row r="7470" spans="1:5" x14ac:dyDescent="0.25">
      <c r="A7470" s="5">
        <f>7462</f>
      </c>
      <c r="B7470" s="5" t="s">
        <v>6712</v>
      </c>
      <c r="C7470" s="5" t="s">
        <v>11</v>
      </c>
      <c r="D7470" s="5" t="s">
        <v>12</v>
      </c>
      <c r="E7470" s="5" t="s">
        <v>3962</v>
      </c>
    </row>
    <row r="7471" spans="1:5" x14ac:dyDescent="0.25">
      <c r="A7471" s="5">
        <f>7463</f>
      </c>
      <c r="B7471" s="5" t="s">
        <v>6713</v>
      </c>
      <c r="C7471" s="5" t="s">
        <v>11</v>
      </c>
      <c r="D7471" s="5" t="s">
        <v>12</v>
      </c>
      <c r="E7471" s="5" t="s">
        <v>3962</v>
      </c>
    </row>
    <row r="7472" spans="1:5" x14ac:dyDescent="0.25">
      <c r="A7472" s="5">
        <f>7464</f>
      </c>
      <c r="B7472" s="5" t="s">
        <v>6714</v>
      </c>
      <c r="C7472" s="5" t="s">
        <v>11</v>
      </c>
      <c r="D7472" s="5" t="s">
        <v>12</v>
      </c>
      <c r="E7472" s="5" t="s">
        <v>3962</v>
      </c>
    </row>
    <row r="7473" spans="1:5" x14ac:dyDescent="0.25">
      <c r="A7473" s="5">
        <f>7465</f>
      </c>
      <c r="B7473" s="5" t="s">
        <v>6715</v>
      </c>
      <c r="C7473" s="5" t="s">
        <v>11</v>
      </c>
      <c r="D7473" s="5" t="s">
        <v>12</v>
      </c>
      <c r="E7473" s="5" t="s">
        <v>3962</v>
      </c>
    </row>
    <row r="7474" spans="1:5" x14ac:dyDescent="0.25">
      <c r="A7474" s="5">
        <f>7466</f>
      </c>
      <c r="B7474" s="5" t="s">
        <v>6716</v>
      </c>
      <c r="C7474" s="5" t="s">
        <v>11</v>
      </c>
      <c r="D7474" s="5" t="s">
        <v>12</v>
      </c>
      <c r="E7474" s="5" t="s">
        <v>3962</v>
      </c>
    </row>
    <row r="7475" spans="1:5" x14ac:dyDescent="0.25">
      <c r="A7475" s="5">
        <f>7467</f>
      </c>
      <c r="B7475" s="5" t="s">
        <v>6717</v>
      </c>
      <c r="C7475" s="5" t="s">
        <v>11</v>
      </c>
      <c r="D7475" s="5" t="s">
        <v>12</v>
      </c>
      <c r="E7475" s="5" t="s">
        <v>3962</v>
      </c>
    </row>
    <row r="7476" spans="1:5" x14ac:dyDescent="0.25">
      <c r="A7476" s="5">
        <f>7468</f>
      </c>
      <c r="B7476" s="5" t="s">
        <v>6718</v>
      </c>
      <c r="C7476" s="5" t="s">
        <v>11</v>
      </c>
      <c r="D7476" s="5" t="s">
        <v>12</v>
      </c>
      <c r="E7476" s="5" t="s">
        <v>3962</v>
      </c>
    </row>
    <row r="7477" spans="1:5" x14ac:dyDescent="0.25">
      <c r="A7477" s="5">
        <f>7469</f>
      </c>
      <c r="B7477" s="5" t="s">
        <v>6719</v>
      </c>
      <c r="C7477" s="5" t="s">
        <v>11</v>
      </c>
      <c r="D7477" s="5" t="s">
        <v>12</v>
      </c>
      <c r="E7477" s="5" t="s">
        <v>3962</v>
      </c>
    </row>
    <row r="7478" spans="1:5" x14ac:dyDescent="0.25">
      <c r="A7478" s="5">
        <f>7470</f>
      </c>
      <c r="B7478" s="5" t="s">
        <v>6720</v>
      </c>
      <c r="C7478" s="5" t="s">
        <v>11</v>
      </c>
      <c r="D7478" s="5" t="s">
        <v>12</v>
      </c>
      <c r="E7478" s="5" t="s">
        <v>3962</v>
      </c>
    </row>
    <row r="7479" spans="1:5" x14ac:dyDescent="0.25">
      <c r="A7479" s="5">
        <f>7471</f>
      </c>
      <c r="B7479" s="5" t="s">
        <v>6721</v>
      </c>
      <c r="C7479" s="5" t="s">
        <v>11</v>
      </c>
      <c r="D7479" s="5" t="s">
        <v>12</v>
      </c>
      <c r="E7479" s="5" t="s">
        <v>3962</v>
      </c>
    </row>
    <row r="7480" spans="1:5" x14ac:dyDescent="0.25">
      <c r="A7480" s="5">
        <f>7472</f>
      </c>
      <c r="B7480" s="5" t="s">
        <v>6722</v>
      </c>
      <c r="C7480" s="5" t="s">
        <v>11</v>
      </c>
      <c r="D7480" s="5" t="s">
        <v>12</v>
      </c>
      <c r="E7480" s="5" t="s">
        <v>3962</v>
      </c>
    </row>
    <row r="7481" spans="1:5" x14ac:dyDescent="0.25">
      <c r="A7481" s="5">
        <f>7473</f>
      </c>
      <c r="B7481" s="5" t="s">
        <v>6723</v>
      </c>
      <c r="C7481" s="5" t="s">
        <v>11</v>
      </c>
      <c r="D7481" s="5" t="s">
        <v>12</v>
      </c>
      <c r="E7481" s="5" t="s">
        <v>3962</v>
      </c>
    </row>
    <row r="7482" spans="1:5" x14ac:dyDescent="0.25">
      <c r="A7482" s="5">
        <f>7474</f>
      </c>
      <c r="B7482" s="5" t="s">
        <v>6724</v>
      </c>
      <c r="C7482" s="5" t="s">
        <v>11</v>
      </c>
      <c r="D7482" s="5" t="s">
        <v>12</v>
      </c>
      <c r="E7482" s="5" t="s">
        <v>3962</v>
      </c>
    </row>
    <row r="7483" spans="1:5" x14ac:dyDescent="0.25">
      <c r="A7483" s="5">
        <f>7475</f>
      </c>
      <c r="B7483" s="5" t="s">
        <v>6725</v>
      </c>
      <c r="C7483" s="5" t="s">
        <v>11</v>
      </c>
      <c r="D7483" s="5" t="s">
        <v>12</v>
      </c>
      <c r="E7483" s="5" t="s">
        <v>3962</v>
      </c>
    </row>
    <row r="7484" spans="1:5" x14ac:dyDescent="0.25">
      <c r="A7484" s="5">
        <f>7476</f>
      </c>
      <c r="B7484" s="5" t="s">
        <v>6726</v>
      </c>
      <c r="C7484" s="5" t="s">
        <v>11</v>
      </c>
      <c r="D7484" s="5" t="s">
        <v>12</v>
      </c>
      <c r="E7484" s="5" t="s">
        <v>3962</v>
      </c>
    </row>
    <row r="7485" spans="1:5" x14ac:dyDescent="0.25">
      <c r="A7485" s="5">
        <f>7477</f>
      </c>
      <c r="B7485" s="5" t="s">
        <v>6727</v>
      </c>
      <c r="C7485" s="5" t="s">
        <v>11</v>
      </c>
      <c r="D7485" s="5" t="s">
        <v>12</v>
      </c>
      <c r="E7485" s="5" t="s">
        <v>3962</v>
      </c>
    </row>
    <row r="7486" spans="1:5" x14ac:dyDescent="0.25">
      <c r="A7486" s="5">
        <f>7478</f>
      </c>
      <c r="B7486" s="5" t="s">
        <v>6728</v>
      </c>
      <c r="C7486" s="5" t="s">
        <v>11</v>
      </c>
      <c r="D7486" s="5" t="s">
        <v>12</v>
      </c>
      <c r="E7486" s="5" t="s">
        <v>3962</v>
      </c>
    </row>
    <row r="7487" spans="1:5" x14ac:dyDescent="0.25">
      <c r="A7487" s="5">
        <f>7479</f>
      </c>
      <c r="B7487" s="5" t="s">
        <v>6729</v>
      </c>
      <c r="C7487" s="5" t="s">
        <v>11</v>
      </c>
      <c r="D7487" s="5" t="s">
        <v>12</v>
      </c>
      <c r="E7487" s="5" t="s">
        <v>3962</v>
      </c>
    </row>
    <row r="7488" spans="1:5" x14ac:dyDescent="0.25">
      <c r="A7488" s="5">
        <f>7480</f>
      </c>
      <c r="B7488" s="5" t="s">
        <v>6730</v>
      </c>
      <c r="C7488" s="5" t="s">
        <v>11</v>
      </c>
      <c r="D7488" s="5" t="s">
        <v>12</v>
      </c>
      <c r="E7488" s="5" t="s">
        <v>3962</v>
      </c>
    </row>
    <row r="7489" spans="1:5" x14ac:dyDescent="0.25">
      <c r="A7489" s="5">
        <f>7481</f>
      </c>
      <c r="B7489" s="5" t="s">
        <v>6731</v>
      </c>
      <c r="C7489" s="5" t="s">
        <v>11</v>
      </c>
      <c r="D7489" s="5" t="s">
        <v>12</v>
      </c>
      <c r="E7489" s="5" t="s">
        <v>3962</v>
      </c>
    </row>
    <row r="7490" spans="1:5" x14ac:dyDescent="0.25">
      <c r="A7490" s="5">
        <f>7482</f>
      </c>
      <c r="B7490" s="5" t="s">
        <v>6732</v>
      </c>
      <c r="C7490" s="5" t="s">
        <v>11</v>
      </c>
      <c r="D7490" s="5" t="s">
        <v>12</v>
      </c>
      <c r="E7490" s="5" t="s">
        <v>3962</v>
      </c>
    </row>
    <row r="7491" spans="1:5" x14ac:dyDescent="0.25">
      <c r="A7491" s="5">
        <f>7483</f>
      </c>
      <c r="B7491" s="5" t="s">
        <v>6733</v>
      </c>
      <c r="C7491" s="5" t="s">
        <v>11</v>
      </c>
      <c r="D7491" s="5" t="s">
        <v>12</v>
      </c>
      <c r="E7491" s="5" t="s">
        <v>3962</v>
      </c>
    </row>
    <row r="7492" spans="1:5" x14ac:dyDescent="0.25">
      <c r="A7492" s="5">
        <f>7484</f>
      </c>
      <c r="B7492" s="5" t="s">
        <v>6734</v>
      </c>
      <c r="C7492" s="5" t="s">
        <v>11</v>
      </c>
      <c r="D7492" s="5" t="s">
        <v>12</v>
      </c>
      <c r="E7492" s="5" t="s">
        <v>3962</v>
      </c>
    </row>
    <row r="7493" spans="1:5" x14ac:dyDescent="0.25">
      <c r="A7493" s="5">
        <f>7485</f>
      </c>
      <c r="B7493" s="5" t="s">
        <v>6735</v>
      </c>
      <c r="C7493" s="5" t="s">
        <v>11</v>
      </c>
      <c r="D7493" s="5" t="s">
        <v>12</v>
      </c>
      <c r="E7493" s="5" t="s">
        <v>3962</v>
      </c>
    </row>
    <row r="7494" spans="1:5" x14ac:dyDescent="0.25">
      <c r="A7494" s="5">
        <f>7486</f>
      </c>
      <c r="B7494" s="5" t="s">
        <v>6736</v>
      </c>
      <c r="C7494" s="5" t="s">
        <v>11</v>
      </c>
      <c r="D7494" s="5" t="s">
        <v>12</v>
      </c>
      <c r="E7494" s="5" t="s">
        <v>3962</v>
      </c>
    </row>
    <row r="7495" spans="1:5" x14ac:dyDescent="0.25">
      <c r="A7495" s="5">
        <f>7487</f>
      </c>
      <c r="B7495" s="5" t="s">
        <v>6737</v>
      </c>
      <c r="C7495" s="5" t="s">
        <v>11</v>
      </c>
      <c r="D7495" s="5" t="s">
        <v>12</v>
      </c>
      <c r="E7495" s="5" t="s">
        <v>3962</v>
      </c>
    </row>
    <row r="7496" spans="1:5" x14ac:dyDescent="0.25">
      <c r="A7496" s="5">
        <f>7488</f>
      </c>
      <c r="B7496" s="5" t="s">
        <v>6738</v>
      </c>
      <c r="C7496" s="5" t="s">
        <v>11</v>
      </c>
      <c r="D7496" s="5" t="s">
        <v>12</v>
      </c>
      <c r="E7496" s="5" t="s">
        <v>3962</v>
      </c>
    </row>
    <row r="7497" spans="1:5" x14ac:dyDescent="0.25">
      <c r="A7497" s="5">
        <f>7489</f>
      </c>
      <c r="B7497" s="5" t="s">
        <v>6739</v>
      </c>
      <c r="C7497" s="5" t="s">
        <v>11</v>
      </c>
      <c r="D7497" s="5" t="s">
        <v>12</v>
      </c>
      <c r="E7497" s="5" t="s">
        <v>3962</v>
      </c>
    </row>
    <row r="7498" spans="1:5" x14ac:dyDescent="0.25">
      <c r="A7498" s="5">
        <f>7490</f>
      </c>
      <c r="B7498" s="5" t="s">
        <v>6740</v>
      </c>
      <c r="C7498" s="5" t="s">
        <v>11</v>
      </c>
      <c r="D7498" s="5" t="s">
        <v>12</v>
      </c>
      <c r="E7498" s="5" t="s">
        <v>3962</v>
      </c>
    </row>
    <row r="7499" spans="1:5" x14ac:dyDescent="0.25">
      <c r="A7499" s="5">
        <f>7491</f>
      </c>
      <c r="B7499" s="5" t="s">
        <v>6741</v>
      </c>
      <c r="C7499" s="5" t="s">
        <v>11</v>
      </c>
      <c r="D7499" s="5" t="s">
        <v>12</v>
      </c>
      <c r="E7499" s="5" t="s">
        <v>3962</v>
      </c>
    </row>
    <row r="7500" spans="1:5" x14ac:dyDescent="0.25">
      <c r="A7500" s="5">
        <f>7492</f>
      </c>
      <c r="B7500" s="5" t="s">
        <v>6742</v>
      </c>
      <c r="C7500" s="5" t="s">
        <v>11</v>
      </c>
      <c r="D7500" s="5" t="s">
        <v>12</v>
      </c>
      <c r="E7500" s="5" t="s">
        <v>3962</v>
      </c>
    </row>
    <row r="7501" spans="1:5" x14ac:dyDescent="0.25">
      <c r="A7501" s="5">
        <f>7493</f>
      </c>
      <c r="B7501" s="5" t="s">
        <v>6743</v>
      </c>
      <c r="C7501" s="5" t="s">
        <v>11</v>
      </c>
      <c r="D7501" s="5" t="s">
        <v>12</v>
      </c>
      <c r="E7501" s="5" t="s">
        <v>3962</v>
      </c>
    </row>
    <row r="7502" spans="1:5" x14ac:dyDescent="0.25">
      <c r="A7502" s="5">
        <f>7494</f>
      </c>
      <c r="B7502" s="5" t="s">
        <v>6744</v>
      </c>
      <c r="C7502" s="5" t="s">
        <v>11</v>
      </c>
      <c r="D7502" s="5" t="s">
        <v>12</v>
      </c>
      <c r="E7502" s="5" t="s">
        <v>3962</v>
      </c>
    </row>
    <row r="7503" spans="1:5" x14ac:dyDescent="0.25">
      <c r="A7503" s="5">
        <f>7495</f>
      </c>
      <c r="B7503" s="5" t="s">
        <v>6745</v>
      </c>
      <c r="C7503" s="5" t="s">
        <v>11</v>
      </c>
      <c r="D7503" s="5" t="s">
        <v>12</v>
      </c>
      <c r="E7503" s="5" t="s">
        <v>3962</v>
      </c>
    </row>
    <row r="7504" spans="1:5" x14ac:dyDescent="0.25">
      <c r="A7504" s="5">
        <f>7496</f>
      </c>
      <c r="B7504" s="5" t="s">
        <v>6746</v>
      </c>
      <c r="C7504" s="5" t="s">
        <v>11</v>
      </c>
      <c r="D7504" s="5" t="s">
        <v>12</v>
      </c>
      <c r="E7504" s="5" t="s">
        <v>3962</v>
      </c>
    </row>
    <row r="7505" spans="1:5" x14ac:dyDescent="0.25">
      <c r="A7505" s="5">
        <f>7497</f>
      </c>
      <c r="B7505" s="5" t="s">
        <v>6747</v>
      </c>
      <c r="C7505" s="5" t="s">
        <v>11</v>
      </c>
      <c r="D7505" s="5" t="s">
        <v>12</v>
      </c>
      <c r="E7505" s="5" t="s">
        <v>3962</v>
      </c>
    </row>
    <row r="7506" spans="1:5" x14ac:dyDescent="0.25">
      <c r="A7506" s="5">
        <f>7498</f>
      </c>
      <c r="B7506" s="5" t="s">
        <v>6748</v>
      </c>
      <c r="C7506" s="5" t="s">
        <v>11</v>
      </c>
      <c r="D7506" s="5" t="s">
        <v>12</v>
      </c>
      <c r="E7506" s="5" t="s">
        <v>3962</v>
      </c>
    </row>
    <row r="7507" spans="1:5" x14ac:dyDescent="0.25">
      <c r="A7507" s="5">
        <f>7499</f>
      </c>
      <c r="B7507" s="5" t="s">
        <v>6749</v>
      </c>
      <c r="C7507" s="5" t="s">
        <v>11</v>
      </c>
      <c r="D7507" s="5" t="s">
        <v>12</v>
      </c>
      <c r="E7507" s="5" t="s">
        <v>3962</v>
      </c>
    </row>
    <row r="7508" spans="1:5" x14ac:dyDescent="0.25">
      <c r="A7508" s="5">
        <f>7500</f>
      </c>
      <c r="B7508" s="5" t="s">
        <v>6750</v>
      </c>
      <c r="C7508" s="5" t="s">
        <v>11</v>
      </c>
      <c r="D7508" s="5" t="s">
        <v>12</v>
      </c>
      <c r="E7508" s="5" t="s">
        <v>3962</v>
      </c>
    </row>
    <row r="7509" spans="1:5" x14ac:dyDescent="0.25">
      <c r="A7509" s="5">
        <f>7501</f>
      </c>
      <c r="B7509" s="5" t="s">
        <v>6751</v>
      </c>
      <c r="C7509" s="5" t="s">
        <v>11</v>
      </c>
      <c r="D7509" s="5" t="s">
        <v>12</v>
      </c>
      <c r="E7509" s="5" t="s">
        <v>3962</v>
      </c>
    </row>
    <row r="7510" spans="1:5" x14ac:dyDescent="0.25">
      <c r="A7510" s="5">
        <f>7502</f>
      </c>
      <c r="B7510" s="5" t="s">
        <v>6752</v>
      </c>
      <c r="C7510" s="5" t="s">
        <v>11</v>
      </c>
      <c r="D7510" s="5" t="s">
        <v>12</v>
      </c>
      <c r="E7510" s="5" t="s">
        <v>3962</v>
      </c>
    </row>
    <row r="7511" spans="1:5" x14ac:dyDescent="0.25">
      <c r="A7511" s="5">
        <f>7503</f>
      </c>
      <c r="B7511" s="5" t="s">
        <v>6753</v>
      </c>
      <c r="C7511" s="5" t="s">
        <v>11</v>
      </c>
      <c r="D7511" s="5" t="s">
        <v>12</v>
      </c>
      <c r="E7511" s="5" t="s">
        <v>3962</v>
      </c>
    </row>
    <row r="7512" spans="1:5" x14ac:dyDescent="0.25">
      <c r="A7512" s="5">
        <f>7504</f>
      </c>
      <c r="B7512" s="5" t="s">
        <v>6754</v>
      </c>
      <c r="C7512" s="5" t="s">
        <v>11</v>
      </c>
      <c r="D7512" s="5" t="s">
        <v>12</v>
      </c>
      <c r="E7512" s="5" t="s">
        <v>3962</v>
      </c>
    </row>
    <row r="7513" spans="1:5" x14ac:dyDescent="0.25">
      <c r="A7513" s="5">
        <f>7505</f>
      </c>
      <c r="B7513" s="5" t="s">
        <v>6755</v>
      </c>
      <c r="C7513" s="5" t="s">
        <v>11</v>
      </c>
      <c r="D7513" s="5" t="s">
        <v>12</v>
      </c>
      <c r="E7513" s="5" t="s">
        <v>3962</v>
      </c>
    </row>
    <row r="7514" spans="1:5" x14ac:dyDescent="0.25">
      <c r="A7514" s="5">
        <f>7506</f>
      </c>
      <c r="B7514" s="5" t="s">
        <v>6756</v>
      </c>
      <c r="C7514" s="5" t="s">
        <v>11</v>
      </c>
      <c r="D7514" s="5" t="s">
        <v>12</v>
      </c>
      <c r="E7514" s="5" t="s">
        <v>3962</v>
      </c>
    </row>
    <row r="7515" spans="1:5" x14ac:dyDescent="0.25">
      <c r="A7515" s="5">
        <f>7507</f>
      </c>
      <c r="B7515" s="5" t="s">
        <v>6757</v>
      </c>
      <c r="C7515" s="5" t="s">
        <v>11</v>
      </c>
      <c r="D7515" s="5" t="s">
        <v>12</v>
      </c>
      <c r="E7515" s="5" t="s">
        <v>3962</v>
      </c>
    </row>
    <row r="7516" spans="1:5" x14ac:dyDescent="0.25">
      <c r="A7516" s="5">
        <f>7508</f>
      </c>
      <c r="B7516" s="5" t="s">
        <v>6758</v>
      </c>
      <c r="C7516" s="5" t="s">
        <v>11</v>
      </c>
      <c r="D7516" s="5" t="s">
        <v>12</v>
      </c>
      <c r="E7516" s="5" t="s">
        <v>3962</v>
      </c>
    </row>
    <row r="7517" spans="1:5" x14ac:dyDescent="0.25">
      <c r="A7517" s="5">
        <f>7509</f>
      </c>
      <c r="B7517" s="5" t="s">
        <v>6759</v>
      </c>
      <c r="C7517" s="5" t="s">
        <v>11</v>
      </c>
      <c r="D7517" s="5" t="s">
        <v>12</v>
      </c>
      <c r="E7517" s="5" t="s">
        <v>3962</v>
      </c>
    </row>
    <row r="7518" spans="1:5" x14ac:dyDescent="0.25">
      <c r="A7518" s="5">
        <f>7510</f>
      </c>
      <c r="B7518" s="5" t="s">
        <v>6760</v>
      </c>
      <c r="C7518" s="5" t="s">
        <v>11</v>
      </c>
      <c r="D7518" s="5" t="s">
        <v>12</v>
      </c>
      <c r="E7518" s="5" t="s">
        <v>3962</v>
      </c>
    </row>
    <row r="7519" spans="1:5" x14ac:dyDescent="0.25">
      <c r="A7519" s="5">
        <f>7511</f>
      </c>
      <c r="B7519" s="5" t="s">
        <v>6761</v>
      </c>
      <c r="C7519" s="5" t="s">
        <v>11</v>
      </c>
      <c r="D7519" s="5" t="s">
        <v>12</v>
      </c>
      <c r="E7519" s="5" t="s">
        <v>3962</v>
      </c>
    </row>
    <row r="7520" spans="1:5" x14ac:dyDescent="0.25">
      <c r="A7520" s="5">
        <f>7512</f>
      </c>
      <c r="B7520" s="5" t="s">
        <v>6762</v>
      </c>
      <c r="C7520" s="5" t="s">
        <v>11</v>
      </c>
      <c r="D7520" s="5" t="s">
        <v>12</v>
      </c>
      <c r="E7520" s="5" t="s">
        <v>3962</v>
      </c>
    </row>
    <row r="7521" spans="1:5" x14ac:dyDescent="0.25">
      <c r="A7521" s="5">
        <f>7513</f>
      </c>
      <c r="B7521" s="5" t="s">
        <v>6763</v>
      </c>
      <c r="C7521" s="5" t="s">
        <v>11</v>
      </c>
      <c r="D7521" s="5" t="s">
        <v>12</v>
      </c>
      <c r="E7521" s="5" t="s">
        <v>3962</v>
      </c>
    </row>
    <row r="7522" spans="1:5" x14ac:dyDescent="0.25">
      <c r="A7522" s="5">
        <f>7514</f>
      </c>
      <c r="B7522" s="5" t="s">
        <v>6764</v>
      </c>
      <c r="C7522" s="5" t="s">
        <v>11</v>
      </c>
      <c r="D7522" s="5" t="s">
        <v>12</v>
      </c>
      <c r="E7522" s="5" t="s">
        <v>3962</v>
      </c>
    </row>
    <row r="7523" spans="1:5" x14ac:dyDescent="0.25">
      <c r="A7523" s="5">
        <f>7515</f>
      </c>
      <c r="B7523" s="5" t="s">
        <v>6765</v>
      </c>
      <c r="C7523" s="5" t="s">
        <v>11</v>
      </c>
      <c r="D7523" s="5" t="s">
        <v>12</v>
      </c>
      <c r="E7523" s="5" t="s">
        <v>3962</v>
      </c>
    </row>
    <row r="7524" spans="1:5" x14ac:dyDescent="0.25">
      <c r="A7524" s="5">
        <f>7516</f>
      </c>
      <c r="B7524" s="5" t="s">
        <v>6766</v>
      </c>
      <c r="C7524" s="5" t="s">
        <v>11</v>
      </c>
      <c r="D7524" s="5" t="s">
        <v>12</v>
      </c>
      <c r="E7524" s="5" t="s">
        <v>3962</v>
      </c>
    </row>
    <row r="7525" spans="1:5" x14ac:dyDescent="0.25">
      <c r="A7525" s="5">
        <f>7517</f>
      </c>
      <c r="B7525" s="5" t="s">
        <v>6767</v>
      </c>
      <c r="C7525" s="5" t="s">
        <v>11</v>
      </c>
      <c r="D7525" s="5" t="s">
        <v>12</v>
      </c>
      <c r="E7525" s="5" t="s">
        <v>3962</v>
      </c>
    </row>
    <row r="7526" spans="1:5" x14ac:dyDescent="0.25">
      <c r="A7526" s="5">
        <f>7518</f>
      </c>
      <c r="B7526" s="5" t="s">
        <v>6768</v>
      </c>
      <c r="C7526" s="5" t="s">
        <v>11</v>
      </c>
      <c r="D7526" s="5" t="s">
        <v>12</v>
      </c>
      <c r="E7526" s="5" t="s">
        <v>3962</v>
      </c>
    </row>
    <row r="7527" spans="1:5" x14ac:dyDescent="0.25">
      <c r="A7527" s="5">
        <f>7519</f>
      </c>
      <c r="B7527" s="5" t="s">
        <v>6769</v>
      </c>
      <c r="C7527" s="5" t="s">
        <v>11</v>
      </c>
      <c r="D7527" s="5" t="s">
        <v>12</v>
      </c>
      <c r="E7527" s="5" t="s">
        <v>3962</v>
      </c>
    </row>
    <row r="7528" spans="1:5" x14ac:dyDescent="0.25">
      <c r="A7528" s="5">
        <f>7520</f>
      </c>
      <c r="B7528" s="5" t="s">
        <v>6770</v>
      </c>
      <c r="C7528" s="5" t="s">
        <v>11</v>
      </c>
      <c r="D7528" s="5" t="s">
        <v>12</v>
      </c>
      <c r="E7528" s="5" t="s">
        <v>3962</v>
      </c>
    </row>
    <row r="7529" spans="1:5" x14ac:dyDescent="0.25">
      <c r="A7529" s="5">
        <f>7521</f>
      </c>
      <c r="B7529" s="5" t="s">
        <v>6771</v>
      </c>
      <c r="C7529" s="5" t="s">
        <v>11</v>
      </c>
      <c r="D7529" s="5" t="s">
        <v>12</v>
      </c>
      <c r="E7529" s="5" t="s">
        <v>3962</v>
      </c>
    </row>
    <row r="7530" spans="1:5" x14ac:dyDescent="0.25">
      <c r="A7530" s="5">
        <f>7522</f>
      </c>
      <c r="B7530" s="5" t="s">
        <v>6772</v>
      </c>
      <c r="C7530" s="5" t="s">
        <v>11</v>
      </c>
      <c r="D7530" s="5" t="s">
        <v>12</v>
      </c>
      <c r="E7530" s="5" t="s">
        <v>3962</v>
      </c>
    </row>
    <row r="7531" spans="1:5" x14ac:dyDescent="0.25">
      <c r="A7531" s="5">
        <f>7523</f>
      </c>
      <c r="B7531" s="5" t="s">
        <v>6773</v>
      </c>
      <c r="C7531" s="5" t="s">
        <v>11</v>
      </c>
      <c r="D7531" s="5" t="s">
        <v>12</v>
      </c>
      <c r="E7531" s="5" t="s">
        <v>3962</v>
      </c>
    </row>
    <row r="7532" spans="1:5" x14ac:dyDescent="0.25">
      <c r="A7532" s="5">
        <f>7524</f>
      </c>
      <c r="B7532" s="5" t="s">
        <v>6774</v>
      </c>
      <c r="C7532" s="5" t="s">
        <v>11</v>
      </c>
      <c r="D7532" s="5" t="s">
        <v>12</v>
      </c>
      <c r="E7532" s="5" t="s">
        <v>3962</v>
      </c>
    </row>
    <row r="7533" spans="1:5" x14ac:dyDescent="0.25">
      <c r="A7533" s="5">
        <f>7525</f>
      </c>
      <c r="B7533" s="5" t="s">
        <v>6775</v>
      </c>
      <c r="C7533" s="5" t="s">
        <v>11</v>
      </c>
      <c r="D7533" s="5" t="s">
        <v>12</v>
      </c>
      <c r="E7533" s="5" t="s">
        <v>3962</v>
      </c>
    </row>
    <row r="7534" spans="1:5" x14ac:dyDescent="0.25">
      <c r="A7534" s="5">
        <f>7526</f>
      </c>
      <c r="B7534" s="5" t="s">
        <v>6776</v>
      </c>
      <c r="C7534" s="5" t="s">
        <v>11</v>
      </c>
      <c r="D7534" s="5" t="s">
        <v>12</v>
      </c>
      <c r="E7534" s="5" t="s">
        <v>3962</v>
      </c>
    </row>
    <row r="7535" spans="1:5" x14ac:dyDescent="0.25">
      <c r="A7535" s="5">
        <f>7527</f>
      </c>
      <c r="B7535" s="5" t="s">
        <v>6777</v>
      </c>
      <c r="C7535" s="5" t="s">
        <v>11</v>
      </c>
      <c r="D7535" s="5" t="s">
        <v>12</v>
      </c>
      <c r="E7535" s="5" t="s">
        <v>3962</v>
      </c>
    </row>
    <row r="7536" spans="1:5" x14ac:dyDescent="0.25">
      <c r="A7536" s="5">
        <f>7528</f>
      </c>
      <c r="B7536" s="5" t="s">
        <v>6778</v>
      </c>
      <c r="C7536" s="5" t="s">
        <v>11</v>
      </c>
      <c r="D7536" s="5" t="s">
        <v>12</v>
      </c>
      <c r="E7536" s="5" t="s">
        <v>3962</v>
      </c>
    </row>
    <row r="7537" spans="1:5" x14ac:dyDescent="0.25">
      <c r="A7537" s="5">
        <f>7529</f>
      </c>
      <c r="B7537" s="5" t="s">
        <v>6779</v>
      </c>
      <c r="C7537" s="5" t="s">
        <v>11</v>
      </c>
      <c r="D7537" s="5" t="s">
        <v>12</v>
      </c>
      <c r="E7537" s="5" t="s">
        <v>3962</v>
      </c>
    </row>
    <row r="7538" spans="1:5" x14ac:dyDescent="0.25">
      <c r="A7538" s="5">
        <f>7530</f>
      </c>
      <c r="B7538" s="5" t="s">
        <v>6780</v>
      </c>
      <c r="C7538" s="5" t="s">
        <v>11</v>
      </c>
      <c r="D7538" s="5" t="s">
        <v>12</v>
      </c>
      <c r="E7538" s="5" t="s">
        <v>3962</v>
      </c>
    </row>
    <row r="7539" spans="1:5" x14ac:dyDescent="0.25">
      <c r="A7539" s="5">
        <f>7531</f>
      </c>
      <c r="B7539" s="5" t="s">
        <v>6781</v>
      </c>
      <c r="C7539" s="5" t="s">
        <v>11</v>
      </c>
      <c r="D7539" s="5" t="s">
        <v>12</v>
      </c>
      <c r="E7539" s="5" t="s">
        <v>3962</v>
      </c>
    </row>
    <row r="7540" spans="1:5" x14ac:dyDescent="0.25">
      <c r="A7540" s="5">
        <f>7532</f>
      </c>
      <c r="B7540" s="5" t="s">
        <v>6782</v>
      </c>
      <c r="C7540" s="5" t="s">
        <v>11</v>
      </c>
      <c r="D7540" s="5" t="s">
        <v>12</v>
      </c>
      <c r="E7540" s="5" t="s">
        <v>3962</v>
      </c>
    </row>
    <row r="7541" spans="1:5" x14ac:dyDescent="0.25">
      <c r="A7541" s="5">
        <f>7533</f>
      </c>
      <c r="B7541" s="5" t="s">
        <v>6783</v>
      </c>
      <c r="C7541" s="5" t="s">
        <v>11</v>
      </c>
      <c r="D7541" s="5" t="s">
        <v>12</v>
      </c>
      <c r="E7541" s="5" t="s">
        <v>3962</v>
      </c>
    </row>
    <row r="7542" spans="1:5" x14ac:dyDescent="0.25">
      <c r="A7542" s="5">
        <f>7534</f>
      </c>
      <c r="B7542" s="5" t="s">
        <v>6784</v>
      </c>
      <c r="C7542" s="5" t="s">
        <v>11</v>
      </c>
      <c r="D7542" s="5" t="s">
        <v>12</v>
      </c>
      <c r="E7542" s="5" t="s">
        <v>3962</v>
      </c>
    </row>
    <row r="7543" spans="1:5" x14ac:dyDescent="0.25">
      <c r="A7543" s="5">
        <f>7535</f>
      </c>
      <c r="B7543" s="5" t="s">
        <v>6785</v>
      </c>
      <c r="C7543" s="5" t="s">
        <v>11</v>
      </c>
      <c r="D7543" s="5" t="s">
        <v>12</v>
      </c>
      <c r="E7543" s="5" t="s">
        <v>3962</v>
      </c>
    </row>
    <row r="7544" spans="1:5" x14ac:dyDescent="0.25">
      <c r="A7544" s="5">
        <f>7536</f>
      </c>
      <c r="B7544" s="5" t="s">
        <v>6786</v>
      </c>
      <c r="C7544" s="5" t="s">
        <v>11</v>
      </c>
      <c r="D7544" s="5" t="s">
        <v>12</v>
      </c>
      <c r="E7544" s="5" t="s">
        <v>3962</v>
      </c>
    </row>
    <row r="7545" spans="1:5" x14ac:dyDescent="0.25">
      <c r="A7545" s="5">
        <f>7537</f>
      </c>
      <c r="B7545" s="5" t="s">
        <v>6787</v>
      </c>
      <c r="C7545" s="5" t="s">
        <v>11</v>
      </c>
      <c r="D7545" s="5" t="s">
        <v>12</v>
      </c>
      <c r="E7545" s="5" t="s">
        <v>3962</v>
      </c>
    </row>
    <row r="7546" spans="1:5" x14ac:dyDescent="0.25">
      <c r="A7546" s="5">
        <f>7538</f>
      </c>
      <c r="B7546" s="5" t="s">
        <v>6788</v>
      </c>
      <c r="C7546" s="5" t="s">
        <v>11</v>
      </c>
      <c r="D7546" s="5" t="s">
        <v>12</v>
      </c>
      <c r="E7546" s="5" t="s">
        <v>3962</v>
      </c>
    </row>
    <row r="7547" spans="1:5" x14ac:dyDescent="0.25">
      <c r="A7547" s="5">
        <f>7539</f>
      </c>
      <c r="B7547" s="5" t="s">
        <v>6789</v>
      </c>
      <c r="C7547" s="5" t="s">
        <v>11</v>
      </c>
      <c r="D7547" s="5" t="s">
        <v>12</v>
      </c>
      <c r="E7547" s="5" t="s">
        <v>3962</v>
      </c>
    </row>
    <row r="7548" spans="1:5" x14ac:dyDescent="0.25">
      <c r="A7548" s="5">
        <f>7540</f>
      </c>
      <c r="B7548" s="5" t="s">
        <v>6790</v>
      </c>
      <c r="C7548" s="5" t="s">
        <v>11</v>
      </c>
      <c r="D7548" s="5" t="s">
        <v>12</v>
      </c>
      <c r="E7548" s="5" t="s">
        <v>3962</v>
      </c>
    </row>
    <row r="7549" spans="1:5" x14ac:dyDescent="0.25">
      <c r="A7549" s="5">
        <f>7541</f>
      </c>
      <c r="B7549" s="5" t="s">
        <v>6791</v>
      </c>
      <c r="C7549" s="5" t="s">
        <v>11</v>
      </c>
      <c r="D7549" s="5" t="s">
        <v>12</v>
      </c>
      <c r="E7549" s="5" t="s">
        <v>3962</v>
      </c>
    </row>
    <row r="7550" spans="1:5" x14ac:dyDescent="0.25">
      <c r="A7550" s="5">
        <f>7542</f>
      </c>
      <c r="B7550" s="5" t="s">
        <v>6792</v>
      </c>
      <c r="C7550" s="5" t="s">
        <v>11</v>
      </c>
      <c r="D7550" s="5" t="s">
        <v>12</v>
      </c>
      <c r="E7550" s="5" t="s">
        <v>3962</v>
      </c>
    </row>
    <row r="7551" spans="1:5" x14ac:dyDescent="0.25">
      <c r="A7551" s="5">
        <f>7543</f>
      </c>
      <c r="B7551" s="5" t="s">
        <v>6793</v>
      </c>
      <c r="C7551" s="5" t="s">
        <v>11</v>
      </c>
      <c r="D7551" s="5" t="s">
        <v>12</v>
      </c>
      <c r="E7551" s="5" t="s">
        <v>3962</v>
      </c>
    </row>
    <row r="7552" spans="1:5" x14ac:dyDescent="0.25">
      <c r="A7552" s="5">
        <f>7544</f>
      </c>
      <c r="B7552" s="5" t="s">
        <v>6794</v>
      </c>
      <c r="C7552" s="5" t="s">
        <v>11</v>
      </c>
      <c r="D7552" s="5" t="s">
        <v>12</v>
      </c>
      <c r="E7552" s="5" t="s">
        <v>3962</v>
      </c>
    </row>
    <row r="7553" spans="1:5" x14ac:dyDescent="0.25">
      <c r="A7553" s="5">
        <f>7545</f>
      </c>
      <c r="B7553" s="5" t="s">
        <v>6795</v>
      </c>
      <c r="C7553" s="5" t="s">
        <v>11</v>
      </c>
      <c r="D7553" s="5" t="s">
        <v>12</v>
      </c>
      <c r="E7553" s="5" t="s">
        <v>3962</v>
      </c>
    </row>
    <row r="7554" spans="1:5" x14ac:dyDescent="0.25">
      <c r="A7554" s="5">
        <f>7546</f>
      </c>
      <c r="B7554" s="5" t="s">
        <v>6796</v>
      </c>
      <c r="C7554" s="5" t="s">
        <v>11</v>
      </c>
      <c r="D7554" s="5" t="s">
        <v>12</v>
      </c>
      <c r="E7554" s="5" t="s">
        <v>3962</v>
      </c>
    </row>
    <row r="7555" spans="1:5" x14ac:dyDescent="0.25">
      <c r="A7555" s="5">
        <f>7547</f>
      </c>
      <c r="B7555" s="5" t="s">
        <v>6797</v>
      </c>
      <c r="C7555" s="5" t="s">
        <v>11</v>
      </c>
      <c r="D7555" s="5" t="s">
        <v>12</v>
      </c>
      <c r="E7555" s="5" t="s">
        <v>3962</v>
      </c>
    </row>
    <row r="7556" spans="1:5" x14ac:dyDescent="0.25">
      <c r="A7556" s="5">
        <f>7548</f>
      </c>
      <c r="B7556" s="5" t="s">
        <v>6798</v>
      </c>
      <c r="C7556" s="5" t="s">
        <v>11</v>
      </c>
      <c r="D7556" s="5" t="s">
        <v>12</v>
      </c>
      <c r="E7556" s="5" t="s">
        <v>3962</v>
      </c>
    </row>
    <row r="7557" spans="1:5" x14ac:dyDescent="0.25">
      <c r="A7557" s="5">
        <f>7549</f>
      </c>
      <c r="B7557" s="5" t="s">
        <v>6799</v>
      </c>
      <c r="C7557" s="5" t="s">
        <v>11</v>
      </c>
      <c r="D7557" s="5" t="s">
        <v>12</v>
      </c>
      <c r="E7557" s="5" t="s">
        <v>3962</v>
      </c>
    </row>
    <row r="7558" spans="1:5" x14ac:dyDescent="0.25">
      <c r="A7558" s="5">
        <f>7550</f>
      </c>
      <c r="B7558" s="5" t="s">
        <v>6800</v>
      </c>
      <c r="C7558" s="5" t="s">
        <v>11</v>
      </c>
      <c r="D7558" s="5" t="s">
        <v>12</v>
      </c>
      <c r="E7558" s="5" t="s">
        <v>3962</v>
      </c>
    </row>
    <row r="7559" spans="1:5" x14ac:dyDescent="0.25">
      <c r="A7559" s="5">
        <f>7551</f>
      </c>
      <c r="B7559" s="5" t="s">
        <v>6801</v>
      </c>
      <c r="C7559" s="5" t="s">
        <v>11</v>
      </c>
      <c r="D7559" s="5" t="s">
        <v>12</v>
      </c>
      <c r="E7559" s="5" t="s">
        <v>3962</v>
      </c>
    </row>
    <row r="7560" spans="1:5" x14ac:dyDescent="0.25">
      <c r="A7560" s="5">
        <f>7552</f>
      </c>
      <c r="B7560" s="5" t="s">
        <v>6802</v>
      </c>
      <c r="C7560" s="5" t="s">
        <v>11</v>
      </c>
      <c r="D7560" s="5" t="s">
        <v>12</v>
      </c>
      <c r="E7560" s="5" t="s">
        <v>3962</v>
      </c>
    </row>
    <row r="7561" spans="1:5" x14ac:dyDescent="0.25">
      <c r="A7561" s="5">
        <f>7553</f>
      </c>
      <c r="B7561" s="5" t="s">
        <v>6803</v>
      </c>
      <c r="C7561" s="5" t="s">
        <v>11</v>
      </c>
      <c r="D7561" s="5" t="s">
        <v>12</v>
      </c>
      <c r="E7561" s="5" t="s">
        <v>3962</v>
      </c>
    </row>
    <row r="7562" spans="1:5" x14ac:dyDescent="0.25">
      <c r="A7562" s="5">
        <f>7554</f>
      </c>
      <c r="B7562" s="5" t="s">
        <v>6804</v>
      </c>
      <c r="C7562" s="5" t="s">
        <v>11</v>
      </c>
      <c r="D7562" s="5" t="s">
        <v>12</v>
      </c>
      <c r="E7562" s="5" t="s">
        <v>3962</v>
      </c>
    </row>
    <row r="7563" spans="1:5" x14ac:dyDescent="0.25">
      <c r="A7563" s="5">
        <f>7555</f>
      </c>
      <c r="B7563" s="5" t="s">
        <v>6805</v>
      </c>
      <c r="C7563" s="5" t="s">
        <v>11</v>
      </c>
      <c r="D7563" s="5" t="s">
        <v>12</v>
      </c>
      <c r="E7563" s="5" t="s">
        <v>3962</v>
      </c>
    </row>
    <row r="7564" spans="1:5" x14ac:dyDescent="0.25">
      <c r="A7564" s="5">
        <f>7556</f>
      </c>
      <c r="B7564" s="5" t="s">
        <v>6806</v>
      </c>
      <c r="C7564" s="5" t="s">
        <v>11</v>
      </c>
      <c r="D7564" s="5" t="s">
        <v>12</v>
      </c>
      <c r="E7564" s="5" t="s">
        <v>3962</v>
      </c>
    </row>
    <row r="7565" spans="1:5" x14ac:dyDescent="0.25">
      <c r="A7565" s="5">
        <f>7557</f>
      </c>
      <c r="B7565" s="5" t="s">
        <v>6807</v>
      </c>
      <c r="C7565" s="5" t="s">
        <v>11</v>
      </c>
      <c r="D7565" s="5" t="s">
        <v>12</v>
      </c>
      <c r="E7565" s="5" t="s">
        <v>3962</v>
      </c>
    </row>
    <row r="7566" spans="1:5" x14ac:dyDescent="0.25">
      <c r="A7566" s="5">
        <f>7558</f>
      </c>
      <c r="B7566" s="5" t="s">
        <v>6808</v>
      </c>
      <c r="C7566" s="5" t="s">
        <v>11</v>
      </c>
      <c r="D7566" s="5" t="s">
        <v>12</v>
      </c>
      <c r="E7566" s="5" t="s">
        <v>3962</v>
      </c>
    </row>
    <row r="7567" spans="1:5" x14ac:dyDescent="0.25">
      <c r="A7567" s="5">
        <f>7559</f>
      </c>
      <c r="B7567" s="5" t="s">
        <v>6809</v>
      </c>
      <c r="C7567" s="5" t="s">
        <v>11</v>
      </c>
      <c r="D7567" s="5" t="s">
        <v>12</v>
      </c>
      <c r="E7567" s="5" t="s">
        <v>3962</v>
      </c>
    </row>
    <row r="7568" spans="1:5" x14ac:dyDescent="0.25">
      <c r="A7568" s="5">
        <f>7560</f>
      </c>
      <c r="B7568" s="5" t="s">
        <v>6810</v>
      </c>
      <c r="C7568" s="5" t="s">
        <v>11</v>
      </c>
      <c r="D7568" s="5" t="s">
        <v>12</v>
      </c>
      <c r="E7568" s="5" t="s">
        <v>3962</v>
      </c>
    </row>
    <row r="7569" spans="1:5" x14ac:dyDescent="0.25">
      <c r="A7569" s="5">
        <f>7561</f>
      </c>
      <c r="B7569" s="5" t="s">
        <v>6811</v>
      </c>
      <c r="C7569" s="5" t="s">
        <v>11</v>
      </c>
      <c r="D7569" s="5" t="s">
        <v>12</v>
      </c>
      <c r="E7569" s="5" t="s">
        <v>3962</v>
      </c>
    </row>
    <row r="7570" spans="1:5" x14ac:dyDescent="0.25">
      <c r="A7570" s="5">
        <f>7562</f>
      </c>
      <c r="B7570" s="5" t="s">
        <v>6812</v>
      </c>
      <c r="C7570" s="5" t="s">
        <v>11</v>
      </c>
      <c r="D7570" s="5" t="s">
        <v>12</v>
      </c>
      <c r="E7570" s="5" t="s">
        <v>3962</v>
      </c>
    </row>
    <row r="7571" spans="1:5" x14ac:dyDescent="0.25">
      <c r="A7571" s="5">
        <f>7563</f>
      </c>
      <c r="B7571" s="5" t="s">
        <v>6813</v>
      </c>
      <c r="C7571" s="5" t="s">
        <v>11</v>
      </c>
      <c r="D7571" s="5" t="s">
        <v>12</v>
      </c>
      <c r="E7571" s="5" t="s">
        <v>3962</v>
      </c>
    </row>
    <row r="7572" spans="1:5" x14ac:dyDescent="0.25">
      <c r="A7572" s="5">
        <f>7564</f>
      </c>
      <c r="B7572" s="5" t="s">
        <v>6814</v>
      </c>
      <c r="C7572" s="5" t="s">
        <v>11</v>
      </c>
      <c r="D7572" s="5" t="s">
        <v>12</v>
      </c>
      <c r="E7572" s="5" t="s">
        <v>3962</v>
      </c>
    </row>
    <row r="7573" spans="1:5" x14ac:dyDescent="0.25">
      <c r="A7573" s="5">
        <f>7565</f>
      </c>
      <c r="B7573" s="5" t="s">
        <v>6815</v>
      </c>
      <c r="C7573" s="5" t="s">
        <v>11</v>
      </c>
      <c r="D7573" s="5" t="s">
        <v>12</v>
      </c>
      <c r="E7573" s="5" t="s">
        <v>3962</v>
      </c>
    </row>
    <row r="7574" spans="1:5" x14ac:dyDescent="0.25">
      <c r="A7574" s="5">
        <f>7566</f>
      </c>
      <c r="B7574" s="5" t="s">
        <v>6816</v>
      </c>
      <c r="C7574" s="5" t="s">
        <v>11</v>
      </c>
      <c r="D7574" s="5" t="s">
        <v>12</v>
      </c>
      <c r="E7574" s="5" t="s">
        <v>3962</v>
      </c>
    </row>
    <row r="7575" spans="1:5" x14ac:dyDescent="0.25">
      <c r="A7575" s="5">
        <f>7567</f>
      </c>
      <c r="B7575" s="5" t="s">
        <v>6817</v>
      </c>
      <c r="C7575" s="5" t="s">
        <v>11</v>
      </c>
      <c r="D7575" s="5" t="s">
        <v>12</v>
      </c>
      <c r="E7575" s="5" t="s">
        <v>3962</v>
      </c>
    </row>
    <row r="7576" spans="1:5" x14ac:dyDescent="0.25">
      <c r="A7576" s="5">
        <f>7568</f>
      </c>
      <c r="B7576" s="5" t="s">
        <v>6818</v>
      </c>
      <c r="C7576" s="5" t="s">
        <v>11</v>
      </c>
      <c r="D7576" s="5" t="s">
        <v>12</v>
      </c>
      <c r="E7576" s="5" t="s">
        <v>3962</v>
      </c>
    </row>
    <row r="7577" spans="1:5" x14ac:dyDescent="0.25">
      <c r="A7577" s="5">
        <f>7569</f>
      </c>
      <c r="B7577" s="5" t="s">
        <v>6819</v>
      </c>
      <c r="C7577" s="5" t="s">
        <v>11</v>
      </c>
      <c r="D7577" s="5" t="s">
        <v>12</v>
      </c>
      <c r="E7577" s="5" t="s">
        <v>3962</v>
      </c>
    </row>
    <row r="7578" spans="1:5" x14ac:dyDescent="0.25">
      <c r="A7578" s="5">
        <f>7570</f>
      </c>
      <c r="B7578" s="5" t="s">
        <v>6820</v>
      </c>
      <c r="C7578" s="5" t="s">
        <v>11</v>
      </c>
      <c r="D7578" s="5" t="s">
        <v>12</v>
      </c>
      <c r="E7578" s="5" t="s">
        <v>3962</v>
      </c>
    </row>
    <row r="7579" spans="1:5" x14ac:dyDescent="0.25">
      <c r="A7579" s="5">
        <f>7571</f>
      </c>
      <c r="B7579" s="5" t="s">
        <v>6821</v>
      </c>
      <c r="C7579" s="5" t="s">
        <v>11</v>
      </c>
      <c r="D7579" s="5" t="s">
        <v>12</v>
      </c>
      <c r="E7579" s="5" t="s">
        <v>3962</v>
      </c>
    </row>
    <row r="7580" spans="1:5" x14ac:dyDescent="0.25">
      <c r="A7580" s="5">
        <f>7572</f>
      </c>
      <c r="B7580" s="5" t="s">
        <v>6822</v>
      </c>
      <c r="C7580" s="5" t="s">
        <v>11</v>
      </c>
      <c r="D7580" s="5" t="s">
        <v>12</v>
      </c>
      <c r="E7580" s="5" t="s">
        <v>3962</v>
      </c>
    </row>
    <row r="7581" spans="1:5" x14ac:dyDescent="0.25">
      <c r="A7581" s="5">
        <f>7573</f>
      </c>
      <c r="B7581" s="5" t="s">
        <v>6823</v>
      </c>
      <c r="C7581" s="5" t="s">
        <v>11</v>
      </c>
      <c r="D7581" s="5" t="s">
        <v>12</v>
      </c>
      <c r="E7581" s="5" t="s">
        <v>3962</v>
      </c>
    </row>
    <row r="7582" spans="1:5" x14ac:dyDescent="0.25">
      <c r="A7582" s="5">
        <f>7574</f>
      </c>
      <c r="B7582" s="5" t="s">
        <v>6824</v>
      </c>
      <c r="C7582" s="5" t="s">
        <v>11</v>
      </c>
      <c r="D7582" s="5" t="s">
        <v>12</v>
      </c>
      <c r="E7582" s="5" t="s">
        <v>3962</v>
      </c>
    </row>
    <row r="7583" spans="1:5" x14ac:dyDescent="0.25">
      <c r="A7583" s="5">
        <f>7575</f>
      </c>
      <c r="B7583" s="5" t="s">
        <v>6825</v>
      </c>
      <c r="C7583" s="5" t="s">
        <v>11</v>
      </c>
      <c r="D7583" s="5" t="s">
        <v>12</v>
      </c>
      <c r="E7583" s="5" t="s">
        <v>3962</v>
      </c>
    </row>
    <row r="7584" spans="1:5" x14ac:dyDescent="0.25">
      <c r="A7584" s="5">
        <f>7576</f>
      </c>
      <c r="B7584" s="5" t="s">
        <v>6826</v>
      </c>
      <c r="C7584" s="5" t="s">
        <v>11</v>
      </c>
      <c r="D7584" s="5" t="s">
        <v>12</v>
      </c>
      <c r="E7584" s="5" t="s">
        <v>3962</v>
      </c>
    </row>
    <row r="7585" spans="1:5" x14ac:dyDescent="0.25">
      <c r="A7585" s="5">
        <f>7577</f>
      </c>
      <c r="B7585" s="5" t="s">
        <v>6827</v>
      </c>
      <c r="C7585" s="5" t="s">
        <v>11</v>
      </c>
      <c r="D7585" s="5" t="s">
        <v>12</v>
      </c>
      <c r="E7585" s="5" t="s">
        <v>3962</v>
      </c>
    </row>
    <row r="7586" spans="1:5" x14ac:dyDescent="0.25">
      <c r="A7586" s="5">
        <f>7578</f>
      </c>
      <c r="B7586" s="5" t="s">
        <v>6828</v>
      </c>
      <c r="C7586" s="5" t="s">
        <v>11</v>
      </c>
      <c r="D7586" s="5" t="s">
        <v>12</v>
      </c>
      <c r="E7586" s="5" t="s">
        <v>3962</v>
      </c>
    </row>
    <row r="7587" spans="1:5" x14ac:dyDescent="0.25">
      <c r="A7587" s="5">
        <f>7579</f>
      </c>
      <c r="B7587" s="5" t="s">
        <v>6829</v>
      </c>
      <c r="C7587" s="5" t="s">
        <v>11</v>
      </c>
      <c r="D7587" s="5" t="s">
        <v>12</v>
      </c>
      <c r="E7587" s="5" t="s">
        <v>3962</v>
      </c>
    </row>
    <row r="7588" spans="1:5" x14ac:dyDescent="0.25">
      <c r="A7588" s="5">
        <f>7580</f>
      </c>
      <c r="B7588" s="5" t="s">
        <v>6830</v>
      </c>
      <c r="C7588" s="5" t="s">
        <v>11</v>
      </c>
      <c r="D7588" s="5" t="s">
        <v>12</v>
      </c>
      <c r="E7588" s="5" t="s">
        <v>3962</v>
      </c>
    </row>
    <row r="7589" spans="1:5" x14ac:dyDescent="0.25">
      <c r="A7589" s="5">
        <f>7581</f>
      </c>
      <c r="B7589" s="5" t="s">
        <v>6831</v>
      </c>
      <c r="C7589" s="5" t="s">
        <v>11</v>
      </c>
      <c r="D7589" s="5" t="s">
        <v>12</v>
      </c>
      <c r="E7589" s="5" t="s">
        <v>3962</v>
      </c>
    </row>
    <row r="7590" spans="1:5" x14ac:dyDescent="0.25">
      <c r="A7590" s="5">
        <f>7582</f>
      </c>
      <c r="B7590" s="5" t="s">
        <v>6832</v>
      </c>
      <c r="C7590" s="5" t="s">
        <v>11</v>
      </c>
      <c r="D7590" s="5" t="s">
        <v>12</v>
      </c>
      <c r="E7590" s="5" t="s">
        <v>3962</v>
      </c>
    </row>
    <row r="7591" spans="1:5" x14ac:dyDescent="0.25">
      <c r="A7591" s="5">
        <f>7583</f>
      </c>
      <c r="B7591" s="5" t="s">
        <v>6833</v>
      </c>
      <c r="C7591" s="5" t="s">
        <v>11</v>
      </c>
      <c r="D7591" s="5" t="s">
        <v>12</v>
      </c>
      <c r="E7591" s="5" t="s">
        <v>3962</v>
      </c>
    </row>
    <row r="7592" spans="1:5" x14ac:dyDescent="0.25">
      <c r="A7592" s="5">
        <f>7584</f>
      </c>
      <c r="B7592" s="5" t="s">
        <v>6834</v>
      </c>
      <c r="C7592" s="5" t="s">
        <v>11</v>
      </c>
      <c r="D7592" s="5" t="s">
        <v>12</v>
      </c>
      <c r="E7592" s="5" t="s">
        <v>3962</v>
      </c>
    </row>
    <row r="7593" spans="1:5" x14ac:dyDescent="0.25">
      <c r="A7593" s="5">
        <f>7585</f>
      </c>
      <c r="B7593" s="5" t="s">
        <v>6835</v>
      </c>
      <c r="C7593" s="5" t="s">
        <v>11</v>
      </c>
      <c r="D7593" s="5" t="s">
        <v>12</v>
      </c>
      <c r="E7593" s="5" t="s">
        <v>3962</v>
      </c>
    </row>
    <row r="7594" spans="1:5" x14ac:dyDescent="0.25">
      <c r="A7594" s="5">
        <f>7586</f>
      </c>
      <c r="B7594" s="5" t="s">
        <v>6836</v>
      </c>
      <c r="C7594" s="5" t="s">
        <v>11</v>
      </c>
      <c r="D7594" s="5" t="s">
        <v>12</v>
      </c>
      <c r="E7594" s="5" t="s">
        <v>3962</v>
      </c>
    </row>
    <row r="7595" spans="1:5" x14ac:dyDescent="0.25">
      <c r="A7595" s="5">
        <f>7587</f>
      </c>
      <c r="B7595" s="5" t="s">
        <v>6837</v>
      </c>
      <c r="C7595" s="5" t="s">
        <v>11</v>
      </c>
      <c r="D7595" s="5" t="s">
        <v>12</v>
      </c>
      <c r="E7595" s="5" t="s">
        <v>3962</v>
      </c>
    </row>
    <row r="7596" spans="1:5" x14ac:dyDescent="0.25">
      <c r="A7596" s="5">
        <f>7588</f>
      </c>
      <c r="B7596" s="5" t="s">
        <v>6838</v>
      </c>
      <c r="C7596" s="5" t="s">
        <v>11</v>
      </c>
      <c r="D7596" s="5" t="s">
        <v>12</v>
      </c>
      <c r="E7596" s="5" t="s">
        <v>3962</v>
      </c>
    </row>
    <row r="7597" spans="1:5" x14ac:dyDescent="0.25">
      <c r="A7597" s="5">
        <f>7589</f>
      </c>
      <c r="B7597" s="5" t="s">
        <v>6839</v>
      </c>
      <c r="C7597" s="5" t="s">
        <v>11</v>
      </c>
      <c r="D7597" s="5" t="s">
        <v>12</v>
      </c>
      <c r="E7597" s="5" t="s">
        <v>3962</v>
      </c>
    </row>
    <row r="7598" spans="1:5" x14ac:dyDescent="0.25">
      <c r="A7598" s="5">
        <f>7590</f>
      </c>
      <c r="B7598" s="5" t="s">
        <v>6840</v>
      </c>
      <c r="C7598" s="5" t="s">
        <v>11</v>
      </c>
      <c r="D7598" s="5" t="s">
        <v>12</v>
      </c>
      <c r="E7598" s="5" t="s">
        <v>3962</v>
      </c>
    </row>
    <row r="7599" spans="1:5" x14ac:dyDescent="0.25">
      <c r="A7599" s="5">
        <f>7591</f>
      </c>
      <c r="B7599" s="5" t="s">
        <v>6841</v>
      </c>
      <c r="C7599" s="5" t="s">
        <v>11</v>
      </c>
      <c r="D7599" s="5" t="s">
        <v>12</v>
      </c>
      <c r="E7599" s="5" t="s">
        <v>3962</v>
      </c>
    </row>
    <row r="7600" spans="1:5" x14ac:dyDescent="0.25">
      <c r="A7600" s="5">
        <f>7592</f>
      </c>
      <c r="B7600" s="5" t="s">
        <v>6842</v>
      </c>
      <c r="C7600" s="5" t="s">
        <v>11</v>
      </c>
      <c r="D7600" s="5" t="s">
        <v>12</v>
      </c>
      <c r="E7600" s="5" t="s">
        <v>3962</v>
      </c>
    </row>
    <row r="7601" spans="1:5" x14ac:dyDescent="0.25">
      <c r="A7601" s="5">
        <f>7593</f>
      </c>
      <c r="B7601" s="5" t="s">
        <v>6843</v>
      </c>
      <c r="C7601" s="5" t="s">
        <v>11</v>
      </c>
      <c r="D7601" s="5" t="s">
        <v>12</v>
      </c>
      <c r="E7601" s="5" t="s">
        <v>3962</v>
      </c>
    </row>
    <row r="7602" spans="1:5" x14ac:dyDescent="0.25">
      <c r="A7602" s="5">
        <f>7594</f>
      </c>
      <c r="B7602" s="5" t="s">
        <v>6844</v>
      </c>
      <c r="C7602" s="5" t="s">
        <v>11</v>
      </c>
      <c r="D7602" s="5" t="s">
        <v>12</v>
      </c>
      <c r="E7602" s="5" t="s">
        <v>3962</v>
      </c>
    </row>
    <row r="7603" spans="1:5" x14ac:dyDescent="0.25">
      <c r="A7603" s="5">
        <f>7595</f>
      </c>
      <c r="B7603" s="5" t="s">
        <v>6845</v>
      </c>
      <c r="C7603" s="5" t="s">
        <v>11</v>
      </c>
      <c r="D7603" s="5" t="s">
        <v>12</v>
      </c>
      <c r="E7603" s="5" t="s">
        <v>3962</v>
      </c>
    </row>
    <row r="7604" spans="1:5" x14ac:dyDescent="0.25">
      <c r="A7604" s="5">
        <f>7596</f>
      </c>
      <c r="B7604" s="5" t="s">
        <v>6846</v>
      </c>
      <c r="C7604" s="5" t="s">
        <v>11</v>
      </c>
      <c r="D7604" s="5" t="s">
        <v>12</v>
      </c>
      <c r="E7604" s="5" t="s">
        <v>3962</v>
      </c>
    </row>
    <row r="7605" spans="1:5" x14ac:dyDescent="0.25">
      <c r="A7605" s="5">
        <f>7597</f>
      </c>
      <c r="B7605" s="5" t="s">
        <v>6847</v>
      </c>
      <c r="C7605" s="5" t="s">
        <v>11</v>
      </c>
      <c r="D7605" s="5" t="s">
        <v>12</v>
      </c>
      <c r="E7605" s="5" t="s">
        <v>3962</v>
      </c>
    </row>
    <row r="7606" spans="1:5" x14ac:dyDescent="0.25">
      <c r="A7606" s="5">
        <f>7598</f>
      </c>
      <c r="B7606" s="5" t="s">
        <v>6848</v>
      </c>
      <c r="C7606" s="5" t="s">
        <v>11</v>
      </c>
      <c r="D7606" s="5" t="s">
        <v>12</v>
      </c>
      <c r="E7606" s="5" t="s">
        <v>3962</v>
      </c>
    </row>
    <row r="7607" spans="1:5" x14ac:dyDescent="0.25">
      <c r="A7607" s="5">
        <f>7599</f>
      </c>
      <c r="B7607" s="5" t="s">
        <v>6849</v>
      </c>
      <c r="C7607" s="5" t="s">
        <v>11</v>
      </c>
      <c r="D7607" s="5" t="s">
        <v>12</v>
      </c>
      <c r="E7607" s="5" t="s">
        <v>3962</v>
      </c>
    </row>
    <row r="7608" spans="1:5" x14ac:dyDescent="0.25">
      <c r="A7608" s="5">
        <f>7600</f>
      </c>
      <c r="B7608" s="5" t="s">
        <v>6850</v>
      </c>
      <c r="C7608" s="5" t="s">
        <v>11</v>
      </c>
      <c r="D7608" s="5" t="s">
        <v>12</v>
      </c>
      <c r="E7608" s="5" t="s">
        <v>3962</v>
      </c>
    </row>
    <row r="7609" spans="1:5" x14ac:dyDescent="0.25">
      <c r="A7609" s="5">
        <f>7601</f>
      </c>
      <c r="B7609" s="5" t="s">
        <v>6851</v>
      </c>
      <c r="C7609" s="5" t="s">
        <v>11</v>
      </c>
      <c r="D7609" s="5" t="s">
        <v>12</v>
      </c>
      <c r="E7609" s="5" t="s">
        <v>3962</v>
      </c>
    </row>
    <row r="7610" spans="1:5" x14ac:dyDescent="0.25">
      <c r="A7610" s="5">
        <f>7602</f>
      </c>
      <c r="B7610" s="5" t="s">
        <v>6852</v>
      </c>
      <c r="C7610" s="5" t="s">
        <v>11</v>
      </c>
      <c r="D7610" s="5" t="s">
        <v>12</v>
      </c>
      <c r="E7610" s="5" t="s">
        <v>3962</v>
      </c>
    </row>
    <row r="7611" spans="1:5" x14ac:dyDescent="0.25">
      <c r="A7611" s="5">
        <f>7603</f>
      </c>
      <c r="B7611" s="5" t="s">
        <v>6853</v>
      </c>
      <c r="C7611" s="5" t="s">
        <v>11</v>
      </c>
      <c r="D7611" s="5" t="s">
        <v>12</v>
      </c>
      <c r="E7611" s="5" t="s">
        <v>3962</v>
      </c>
    </row>
    <row r="7612" spans="1:5" x14ac:dyDescent="0.25">
      <c r="A7612" s="5">
        <f>7604</f>
      </c>
      <c r="B7612" s="5" t="s">
        <v>6854</v>
      </c>
      <c r="C7612" s="5" t="s">
        <v>11</v>
      </c>
      <c r="D7612" s="5" t="s">
        <v>12</v>
      </c>
      <c r="E7612" s="5" t="s">
        <v>3962</v>
      </c>
    </row>
    <row r="7613" spans="1:5" x14ac:dyDescent="0.25">
      <c r="A7613" s="5">
        <f>7605</f>
      </c>
      <c r="B7613" s="5" t="s">
        <v>6855</v>
      </c>
      <c r="C7613" s="5" t="s">
        <v>11</v>
      </c>
      <c r="D7613" s="5" t="s">
        <v>12</v>
      </c>
      <c r="E7613" s="5" t="s">
        <v>3962</v>
      </c>
    </row>
    <row r="7614" spans="1:5" x14ac:dyDescent="0.25">
      <c r="A7614" s="5">
        <f>7606</f>
      </c>
      <c r="B7614" s="5" t="s">
        <v>6856</v>
      </c>
      <c r="C7614" s="5" t="s">
        <v>11</v>
      </c>
      <c r="D7614" s="5" t="s">
        <v>12</v>
      </c>
      <c r="E7614" s="5" t="s">
        <v>3962</v>
      </c>
    </row>
    <row r="7615" spans="1:5" x14ac:dyDescent="0.25">
      <c r="A7615" s="5">
        <f>7607</f>
      </c>
      <c r="B7615" s="5" t="s">
        <v>6857</v>
      </c>
      <c r="C7615" s="5" t="s">
        <v>11</v>
      </c>
      <c r="D7615" s="5" t="s">
        <v>12</v>
      </c>
      <c r="E7615" s="5" t="s">
        <v>3962</v>
      </c>
    </row>
    <row r="7616" spans="1:5" x14ac:dyDescent="0.25">
      <c r="A7616" s="5">
        <f>7608</f>
      </c>
      <c r="B7616" s="5" t="s">
        <v>6858</v>
      </c>
      <c r="C7616" s="5" t="s">
        <v>11</v>
      </c>
      <c r="D7616" s="5" t="s">
        <v>12</v>
      </c>
      <c r="E7616" s="5" t="s">
        <v>3962</v>
      </c>
    </row>
    <row r="7617" spans="1:5" x14ac:dyDescent="0.25">
      <c r="A7617" s="5">
        <f>7609</f>
      </c>
      <c r="B7617" s="5" t="s">
        <v>6859</v>
      </c>
      <c r="C7617" s="5" t="s">
        <v>11</v>
      </c>
      <c r="D7617" s="5" t="s">
        <v>12</v>
      </c>
      <c r="E7617" s="5" t="s">
        <v>3962</v>
      </c>
    </row>
    <row r="7618" spans="1:5" x14ac:dyDescent="0.25">
      <c r="A7618" s="5">
        <f>7610</f>
      </c>
      <c r="B7618" s="5" t="s">
        <v>6860</v>
      </c>
      <c r="C7618" s="5" t="s">
        <v>11</v>
      </c>
      <c r="D7618" s="5" t="s">
        <v>12</v>
      </c>
      <c r="E7618" s="5" t="s">
        <v>3962</v>
      </c>
    </row>
    <row r="7619" spans="1:5" x14ac:dyDescent="0.25">
      <c r="A7619" s="5">
        <f>7611</f>
      </c>
      <c r="B7619" s="5" t="s">
        <v>6861</v>
      </c>
      <c r="C7619" s="5" t="s">
        <v>11</v>
      </c>
      <c r="D7619" s="5" t="s">
        <v>12</v>
      </c>
      <c r="E7619" s="5" t="s">
        <v>3962</v>
      </c>
    </row>
    <row r="7620" spans="1:5" x14ac:dyDescent="0.25">
      <c r="A7620" s="5">
        <f>7612</f>
      </c>
      <c r="B7620" s="5" t="s">
        <v>6862</v>
      </c>
      <c r="C7620" s="5" t="s">
        <v>11</v>
      </c>
      <c r="D7620" s="5" t="s">
        <v>12</v>
      </c>
      <c r="E7620" s="5" t="s">
        <v>3962</v>
      </c>
    </row>
    <row r="7621" spans="1:5" x14ac:dyDescent="0.25">
      <c r="A7621" s="5">
        <f>7613</f>
      </c>
      <c r="B7621" s="5" t="s">
        <v>6863</v>
      </c>
      <c r="C7621" s="5" t="s">
        <v>11</v>
      </c>
      <c r="D7621" s="5" t="s">
        <v>12</v>
      </c>
      <c r="E7621" s="5" t="s">
        <v>3962</v>
      </c>
    </row>
    <row r="7622" spans="1:5" x14ac:dyDescent="0.25">
      <c r="A7622" s="5">
        <f>7614</f>
      </c>
      <c r="B7622" s="5" t="s">
        <v>6864</v>
      </c>
      <c r="C7622" s="5" t="s">
        <v>11</v>
      </c>
      <c r="D7622" s="5" t="s">
        <v>12</v>
      </c>
      <c r="E7622" s="5" t="s">
        <v>3962</v>
      </c>
    </row>
    <row r="7623" spans="1:5" x14ac:dyDescent="0.25">
      <c r="A7623" s="5">
        <f>7615</f>
      </c>
      <c r="B7623" s="5" t="s">
        <v>6865</v>
      </c>
      <c r="C7623" s="5" t="s">
        <v>11</v>
      </c>
      <c r="D7623" s="5" t="s">
        <v>12</v>
      </c>
      <c r="E7623" s="5" t="s">
        <v>3962</v>
      </c>
    </row>
    <row r="7624" spans="1:5" x14ac:dyDescent="0.25">
      <c r="A7624" s="5">
        <f>7616</f>
      </c>
      <c r="B7624" s="5" t="s">
        <v>6866</v>
      </c>
      <c r="C7624" s="5" t="s">
        <v>11</v>
      </c>
      <c r="D7624" s="5" t="s">
        <v>12</v>
      </c>
      <c r="E7624" s="5" t="s">
        <v>3962</v>
      </c>
    </row>
    <row r="7625" spans="1:5" x14ac:dyDescent="0.25">
      <c r="A7625" s="5">
        <f>7617</f>
      </c>
      <c r="B7625" s="5" t="s">
        <v>6867</v>
      </c>
      <c r="C7625" s="5" t="s">
        <v>11</v>
      </c>
      <c r="D7625" s="5" t="s">
        <v>12</v>
      </c>
      <c r="E7625" s="5" t="s">
        <v>3962</v>
      </c>
    </row>
    <row r="7626" spans="1:5" x14ac:dyDescent="0.25">
      <c r="A7626" s="5">
        <f>7618</f>
      </c>
      <c r="B7626" s="5" t="s">
        <v>6868</v>
      </c>
      <c r="C7626" s="5" t="s">
        <v>11</v>
      </c>
      <c r="D7626" s="5" t="s">
        <v>12</v>
      </c>
      <c r="E7626" s="5" t="s">
        <v>3962</v>
      </c>
    </row>
    <row r="7627" spans="1:5" x14ac:dyDescent="0.25">
      <c r="A7627" s="5">
        <f>7619</f>
      </c>
      <c r="B7627" s="5" t="s">
        <v>6869</v>
      </c>
      <c r="C7627" s="5" t="s">
        <v>11</v>
      </c>
      <c r="D7627" s="5" t="s">
        <v>12</v>
      </c>
      <c r="E7627" s="5" t="s">
        <v>3962</v>
      </c>
    </row>
    <row r="7628" spans="1:5" x14ac:dyDescent="0.25">
      <c r="A7628" s="5">
        <f>7620</f>
      </c>
      <c r="B7628" s="5" t="s">
        <v>6870</v>
      </c>
      <c r="C7628" s="5" t="s">
        <v>11</v>
      </c>
      <c r="D7628" s="5" t="s">
        <v>12</v>
      </c>
      <c r="E7628" s="5" t="s">
        <v>3962</v>
      </c>
    </row>
    <row r="7629" spans="1:5" x14ac:dyDescent="0.25">
      <c r="A7629" s="5">
        <f>7621</f>
      </c>
      <c r="B7629" s="5" t="s">
        <v>6871</v>
      </c>
      <c r="C7629" s="5" t="s">
        <v>11</v>
      </c>
      <c r="D7629" s="5" t="s">
        <v>12</v>
      </c>
      <c r="E7629" s="5" t="s">
        <v>3962</v>
      </c>
    </row>
    <row r="7630" spans="1:5" x14ac:dyDescent="0.25">
      <c r="A7630" s="5">
        <f>7622</f>
      </c>
      <c r="B7630" s="5" t="s">
        <v>6872</v>
      </c>
      <c r="C7630" s="5" t="s">
        <v>11</v>
      </c>
      <c r="D7630" s="5" t="s">
        <v>12</v>
      </c>
      <c r="E7630" s="5" t="s">
        <v>3962</v>
      </c>
    </row>
    <row r="7631" spans="1:5" x14ac:dyDescent="0.25">
      <c r="A7631" s="5">
        <f>7623</f>
      </c>
      <c r="B7631" s="5" t="s">
        <v>6873</v>
      </c>
      <c r="C7631" s="5" t="s">
        <v>11</v>
      </c>
      <c r="D7631" s="5" t="s">
        <v>12</v>
      </c>
      <c r="E7631" s="5" t="s">
        <v>3962</v>
      </c>
    </row>
    <row r="7632" spans="1:5" x14ac:dyDescent="0.25">
      <c r="A7632" s="5">
        <f>7624</f>
      </c>
      <c r="B7632" s="5" t="s">
        <v>6874</v>
      </c>
      <c r="C7632" s="5" t="s">
        <v>11</v>
      </c>
      <c r="D7632" s="5" t="s">
        <v>12</v>
      </c>
      <c r="E7632" s="5" t="s">
        <v>3962</v>
      </c>
    </row>
    <row r="7633" spans="1:5" x14ac:dyDescent="0.25">
      <c r="A7633" s="5">
        <f>7625</f>
      </c>
      <c r="B7633" s="5" t="s">
        <v>6875</v>
      </c>
      <c r="C7633" s="5" t="s">
        <v>11</v>
      </c>
      <c r="D7633" s="5" t="s">
        <v>12</v>
      </c>
      <c r="E7633" s="5" t="s">
        <v>3962</v>
      </c>
    </row>
    <row r="7634" spans="1:5" x14ac:dyDescent="0.25">
      <c r="A7634" s="5">
        <f>7626</f>
      </c>
      <c r="B7634" s="5" t="s">
        <v>6876</v>
      </c>
      <c r="C7634" s="5" t="s">
        <v>11</v>
      </c>
      <c r="D7634" s="5" t="s">
        <v>12</v>
      </c>
      <c r="E7634" s="5" t="s">
        <v>3962</v>
      </c>
    </row>
    <row r="7635" spans="1:5" x14ac:dyDescent="0.25">
      <c r="A7635" s="5">
        <f>7627</f>
      </c>
      <c r="B7635" s="5" t="s">
        <v>6877</v>
      </c>
      <c r="C7635" s="5" t="s">
        <v>11</v>
      </c>
      <c r="D7635" s="5" t="s">
        <v>12</v>
      </c>
      <c r="E7635" s="5" t="s">
        <v>3962</v>
      </c>
    </row>
    <row r="7636" spans="1:5" x14ac:dyDescent="0.25">
      <c r="A7636" s="5">
        <f>7628</f>
      </c>
      <c r="B7636" s="5" t="s">
        <v>6878</v>
      </c>
      <c r="C7636" s="5" t="s">
        <v>11</v>
      </c>
      <c r="D7636" s="5" t="s">
        <v>12</v>
      </c>
      <c r="E7636" s="5" t="s">
        <v>3962</v>
      </c>
    </row>
    <row r="7637" spans="1:5" x14ac:dyDescent="0.25">
      <c r="A7637" s="5">
        <f>7629</f>
      </c>
      <c r="B7637" s="5" t="s">
        <v>6879</v>
      </c>
      <c r="C7637" s="5" t="s">
        <v>11</v>
      </c>
      <c r="D7637" s="5" t="s">
        <v>12</v>
      </c>
      <c r="E7637" s="5" t="s">
        <v>3962</v>
      </c>
    </row>
    <row r="7638" spans="1:5" x14ac:dyDescent="0.25">
      <c r="A7638" s="5">
        <f>7630</f>
      </c>
      <c r="B7638" s="5" t="s">
        <v>6880</v>
      </c>
      <c r="C7638" s="5" t="s">
        <v>11</v>
      </c>
      <c r="D7638" s="5" t="s">
        <v>12</v>
      </c>
      <c r="E7638" s="5" t="s">
        <v>3962</v>
      </c>
    </row>
    <row r="7639" spans="1:5" x14ac:dyDescent="0.25">
      <c r="A7639" s="5">
        <f>7631</f>
      </c>
      <c r="B7639" s="5" t="s">
        <v>6881</v>
      </c>
      <c r="C7639" s="5" t="s">
        <v>11</v>
      </c>
      <c r="D7639" s="5" t="s">
        <v>12</v>
      </c>
      <c r="E7639" s="5" t="s">
        <v>3962</v>
      </c>
    </row>
    <row r="7640" spans="1:5" x14ac:dyDescent="0.25">
      <c r="A7640" s="5">
        <f>7632</f>
      </c>
      <c r="B7640" s="5" t="s">
        <v>6882</v>
      </c>
      <c r="C7640" s="5" t="s">
        <v>11</v>
      </c>
      <c r="D7640" s="5" t="s">
        <v>12</v>
      </c>
      <c r="E7640" s="5" t="s">
        <v>3962</v>
      </c>
    </row>
    <row r="7641" spans="1:5" x14ac:dyDescent="0.25">
      <c r="A7641" s="5">
        <f>7633</f>
      </c>
      <c r="B7641" s="5" t="s">
        <v>6883</v>
      </c>
      <c r="C7641" s="5" t="s">
        <v>11</v>
      </c>
      <c r="D7641" s="5" t="s">
        <v>12</v>
      </c>
      <c r="E7641" s="5" t="s">
        <v>3962</v>
      </c>
    </row>
    <row r="7642" spans="1:5" x14ac:dyDescent="0.25">
      <c r="A7642" s="5">
        <f>7634</f>
      </c>
      <c r="B7642" s="5" t="s">
        <v>6884</v>
      </c>
      <c r="C7642" s="5" t="s">
        <v>11</v>
      </c>
      <c r="D7642" s="5" t="s">
        <v>12</v>
      </c>
      <c r="E7642" s="5" t="s">
        <v>3962</v>
      </c>
    </row>
    <row r="7643" spans="1:5" x14ac:dyDescent="0.25">
      <c r="A7643" s="5">
        <f>7635</f>
      </c>
      <c r="B7643" s="5" t="s">
        <v>6885</v>
      </c>
      <c r="C7643" s="5" t="s">
        <v>11</v>
      </c>
      <c r="D7643" s="5" t="s">
        <v>12</v>
      </c>
      <c r="E7643" s="5" t="s">
        <v>3962</v>
      </c>
    </row>
    <row r="7644" spans="1:5" x14ac:dyDescent="0.25">
      <c r="A7644" s="5">
        <f>7636</f>
      </c>
      <c r="B7644" s="5" t="s">
        <v>6886</v>
      </c>
      <c r="C7644" s="5" t="s">
        <v>11</v>
      </c>
      <c r="D7644" s="5" t="s">
        <v>12</v>
      </c>
      <c r="E7644" s="5" t="s">
        <v>3962</v>
      </c>
    </row>
    <row r="7645" spans="1:5" x14ac:dyDescent="0.25">
      <c r="A7645" s="5">
        <f>7637</f>
      </c>
      <c r="B7645" s="5" t="s">
        <v>6887</v>
      </c>
      <c r="C7645" s="5" t="s">
        <v>11</v>
      </c>
      <c r="D7645" s="5" t="s">
        <v>12</v>
      </c>
      <c r="E7645" s="5" t="s">
        <v>3962</v>
      </c>
    </row>
    <row r="7646" spans="1:5" x14ac:dyDescent="0.25">
      <c r="A7646" s="5">
        <f>7638</f>
      </c>
      <c r="B7646" s="5" t="s">
        <v>6888</v>
      </c>
      <c r="C7646" s="5" t="s">
        <v>11</v>
      </c>
      <c r="D7646" s="5" t="s">
        <v>12</v>
      </c>
      <c r="E7646" s="5" t="s">
        <v>3962</v>
      </c>
    </row>
    <row r="7647" spans="1:5" x14ac:dyDescent="0.25">
      <c r="A7647" s="5">
        <f>7639</f>
      </c>
      <c r="B7647" s="5" t="s">
        <v>6889</v>
      </c>
      <c r="C7647" s="5" t="s">
        <v>11</v>
      </c>
      <c r="D7647" s="5" t="s">
        <v>12</v>
      </c>
      <c r="E7647" s="5" t="s">
        <v>3962</v>
      </c>
    </row>
    <row r="7648" spans="1:5" x14ac:dyDescent="0.25">
      <c r="A7648" s="5">
        <f>7640</f>
      </c>
      <c r="B7648" s="5" t="s">
        <v>6890</v>
      </c>
      <c r="C7648" s="5" t="s">
        <v>11</v>
      </c>
      <c r="D7648" s="5" t="s">
        <v>12</v>
      </c>
      <c r="E7648" s="5" t="s">
        <v>3962</v>
      </c>
    </row>
    <row r="7649" spans="1:5" x14ac:dyDescent="0.25">
      <c r="A7649" s="5">
        <f>7641</f>
      </c>
      <c r="B7649" s="5" t="s">
        <v>6891</v>
      </c>
      <c r="C7649" s="5" t="s">
        <v>11</v>
      </c>
      <c r="D7649" s="5" t="s">
        <v>12</v>
      </c>
      <c r="E7649" s="5" t="s">
        <v>3962</v>
      </c>
    </row>
    <row r="7650" spans="1:5" x14ac:dyDescent="0.25">
      <c r="A7650" s="5">
        <f>7642</f>
      </c>
      <c r="B7650" s="5" t="s">
        <v>6892</v>
      </c>
      <c r="C7650" s="5" t="s">
        <v>11</v>
      </c>
      <c r="D7650" s="5" t="s">
        <v>12</v>
      </c>
      <c r="E7650" s="5" t="s">
        <v>3962</v>
      </c>
    </row>
    <row r="7651" spans="1:5" x14ac:dyDescent="0.25">
      <c r="A7651" s="5">
        <f>7643</f>
      </c>
      <c r="B7651" s="5" t="s">
        <v>6893</v>
      </c>
      <c r="C7651" s="5" t="s">
        <v>11</v>
      </c>
      <c r="D7651" s="5" t="s">
        <v>12</v>
      </c>
      <c r="E7651" s="5" t="s">
        <v>3962</v>
      </c>
    </row>
    <row r="7652" spans="1:5" x14ac:dyDescent="0.25">
      <c r="A7652" s="5">
        <f>7644</f>
      </c>
      <c r="B7652" s="5" t="s">
        <v>6894</v>
      </c>
      <c r="C7652" s="5" t="s">
        <v>11</v>
      </c>
      <c r="D7652" s="5" t="s">
        <v>12</v>
      </c>
      <c r="E7652" s="5" t="s">
        <v>3962</v>
      </c>
    </row>
    <row r="7653" spans="1:5" x14ac:dyDescent="0.25">
      <c r="A7653" s="5">
        <f>7645</f>
      </c>
      <c r="B7653" s="5" t="s">
        <v>6895</v>
      </c>
      <c r="C7653" s="5" t="s">
        <v>11</v>
      </c>
      <c r="D7653" s="5" t="s">
        <v>12</v>
      </c>
      <c r="E7653" s="5" t="s">
        <v>3962</v>
      </c>
    </row>
    <row r="7654" spans="1:5" x14ac:dyDescent="0.25">
      <c r="A7654" s="5">
        <f>7646</f>
      </c>
      <c r="B7654" s="5" t="s">
        <v>6896</v>
      </c>
      <c r="C7654" s="5" t="s">
        <v>11</v>
      </c>
      <c r="D7654" s="5" t="s">
        <v>12</v>
      </c>
      <c r="E7654" s="5" t="s">
        <v>3962</v>
      </c>
    </row>
    <row r="7655" spans="1:5" x14ac:dyDescent="0.25">
      <c r="A7655" s="5">
        <f>7647</f>
      </c>
      <c r="B7655" s="5" t="s">
        <v>6897</v>
      </c>
      <c r="C7655" s="5" t="s">
        <v>11</v>
      </c>
      <c r="D7655" s="5" t="s">
        <v>12</v>
      </c>
      <c r="E7655" s="5" t="s">
        <v>3962</v>
      </c>
    </row>
    <row r="7656" spans="1:5" x14ac:dyDescent="0.25">
      <c r="A7656" s="5">
        <f>7648</f>
      </c>
      <c r="B7656" s="5" t="s">
        <v>6898</v>
      </c>
      <c r="C7656" s="5" t="s">
        <v>11</v>
      </c>
      <c r="D7656" s="5" t="s">
        <v>12</v>
      </c>
      <c r="E7656" s="5" t="s">
        <v>3962</v>
      </c>
    </row>
    <row r="7657" spans="1:5" x14ac:dyDescent="0.25">
      <c r="A7657" s="5">
        <f>7649</f>
      </c>
      <c r="B7657" s="5" t="s">
        <v>6899</v>
      </c>
      <c r="C7657" s="5" t="s">
        <v>11</v>
      </c>
      <c r="D7657" s="5" t="s">
        <v>12</v>
      </c>
      <c r="E7657" s="5" t="s">
        <v>3962</v>
      </c>
    </row>
    <row r="7658" spans="1:5" x14ac:dyDescent="0.25">
      <c r="A7658" s="5">
        <f>7650</f>
      </c>
      <c r="B7658" s="5" t="s">
        <v>6900</v>
      </c>
      <c r="C7658" s="5" t="s">
        <v>11</v>
      </c>
      <c r="D7658" s="5" t="s">
        <v>12</v>
      </c>
      <c r="E7658" s="5" t="s">
        <v>3962</v>
      </c>
    </row>
    <row r="7659" spans="1:5" x14ac:dyDescent="0.25">
      <c r="A7659" s="5">
        <f>7651</f>
      </c>
      <c r="B7659" s="5" t="s">
        <v>6901</v>
      </c>
      <c r="C7659" s="5" t="s">
        <v>11</v>
      </c>
      <c r="D7659" s="5" t="s">
        <v>12</v>
      </c>
      <c r="E7659" s="5" t="s">
        <v>3962</v>
      </c>
    </row>
    <row r="7660" spans="1:5" x14ac:dyDescent="0.25">
      <c r="A7660" s="5">
        <f>7652</f>
      </c>
      <c r="B7660" s="5" t="s">
        <v>6902</v>
      </c>
      <c r="C7660" s="5" t="s">
        <v>11</v>
      </c>
      <c r="D7660" s="5" t="s">
        <v>12</v>
      </c>
      <c r="E7660" s="5" t="s">
        <v>3962</v>
      </c>
    </row>
    <row r="7661" spans="1:5" x14ac:dyDescent="0.25">
      <c r="A7661" s="5">
        <f>7653</f>
      </c>
      <c r="B7661" s="5" t="s">
        <v>6903</v>
      </c>
      <c r="C7661" s="5" t="s">
        <v>11</v>
      </c>
      <c r="D7661" s="5" t="s">
        <v>12</v>
      </c>
      <c r="E7661" s="5" t="s">
        <v>3962</v>
      </c>
    </row>
    <row r="7662" spans="1:5" x14ac:dyDescent="0.25">
      <c r="A7662" s="5">
        <f>7654</f>
      </c>
      <c r="B7662" s="5" t="s">
        <v>6904</v>
      </c>
      <c r="C7662" s="5" t="s">
        <v>11</v>
      </c>
      <c r="D7662" s="5" t="s">
        <v>12</v>
      </c>
      <c r="E7662" s="5" t="s">
        <v>3962</v>
      </c>
    </row>
    <row r="7663" spans="1:5" x14ac:dyDescent="0.25">
      <c r="A7663" s="5">
        <f>7655</f>
      </c>
      <c r="B7663" s="5" t="s">
        <v>6905</v>
      </c>
      <c r="C7663" s="5" t="s">
        <v>11</v>
      </c>
      <c r="D7663" s="5" t="s">
        <v>12</v>
      </c>
      <c r="E7663" s="5" t="s">
        <v>3962</v>
      </c>
    </row>
    <row r="7664" spans="1:5" x14ac:dyDescent="0.25">
      <c r="A7664" s="5">
        <f>7656</f>
      </c>
      <c r="B7664" s="5" t="s">
        <v>6906</v>
      </c>
      <c r="C7664" s="5" t="s">
        <v>11</v>
      </c>
      <c r="D7664" s="5" t="s">
        <v>12</v>
      </c>
      <c r="E7664" s="5" t="s">
        <v>3962</v>
      </c>
    </row>
    <row r="7665" spans="1:5" x14ac:dyDescent="0.25">
      <c r="A7665" s="5">
        <f>7657</f>
      </c>
      <c r="B7665" s="5" t="s">
        <v>6907</v>
      </c>
      <c r="C7665" s="5" t="s">
        <v>11</v>
      </c>
      <c r="D7665" s="5" t="s">
        <v>12</v>
      </c>
      <c r="E7665" s="5" t="s">
        <v>3962</v>
      </c>
    </row>
    <row r="7666" spans="1:5" x14ac:dyDescent="0.25">
      <c r="A7666" s="5">
        <f>7658</f>
      </c>
      <c r="B7666" s="5" t="s">
        <v>6908</v>
      </c>
      <c r="C7666" s="5" t="s">
        <v>11</v>
      </c>
      <c r="D7666" s="5" t="s">
        <v>12</v>
      </c>
      <c r="E7666" s="5" t="s">
        <v>3962</v>
      </c>
    </row>
    <row r="7667" spans="1:5" x14ac:dyDescent="0.25">
      <c r="A7667" s="5">
        <f>7659</f>
      </c>
      <c r="B7667" s="5" t="s">
        <v>6909</v>
      </c>
      <c r="C7667" s="5" t="s">
        <v>11</v>
      </c>
      <c r="D7667" s="5" t="s">
        <v>12</v>
      </c>
      <c r="E7667" s="5" t="s">
        <v>3962</v>
      </c>
    </row>
    <row r="7668" spans="1:5" x14ac:dyDescent="0.25">
      <c r="A7668" s="5">
        <f>7660</f>
      </c>
      <c r="B7668" s="5" t="s">
        <v>6910</v>
      </c>
      <c r="C7668" s="5" t="s">
        <v>11</v>
      </c>
      <c r="D7668" s="5" t="s">
        <v>12</v>
      </c>
      <c r="E7668" s="5" t="s">
        <v>3962</v>
      </c>
    </row>
    <row r="7669" spans="1:5" x14ac:dyDescent="0.25">
      <c r="A7669" s="5">
        <f>7661</f>
      </c>
      <c r="B7669" s="5" t="s">
        <v>6911</v>
      </c>
      <c r="C7669" s="5" t="s">
        <v>11</v>
      </c>
      <c r="D7669" s="5" t="s">
        <v>12</v>
      </c>
      <c r="E7669" s="5" t="s">
        <v>3962</v>
      </c>
    </row>
    <row r="7670" spans="1:5" x14ac:dyDescent="0.25">
      <c r="A7670" s="5">
        <f>7662</f>
      </c>
      <c r="B7670" s="5" t="s">
        <v>6912</v>
      </c>
      <c r="C7670" s="5" t="s">
        <v>11</v>
      </c>
      <c r="D7670" s="5" t="s">
        <v>12</v>
      </c>
      <c r="E7670" s="5" t="s">
        <v>3962</v>
      </c>
    </row>
    <row r="7671" spans="1:5" x14ac:dyDescent="0.25">
      <c r="A7671" s="5">
        <f>7663</f>
      </c>
      <c r="B7671" s="5" t="s">
        <v>6913</v>
      </c>
      <c r="C7671" s="5" t="s">
        <v>11</v>
      </c>
      <c r="D7671" s="5" t="s">
        <v>12</v>
      </c>
      <c r="E7671" s="5" t="s">
        <v>3962</v>
      </c>
    </row>
    <row r="7672" spans="1:5" x14ac:dyDescent="0.25">
      <c r="A7672" s="5">
        <f>7664</f>
      </c>
      <c r="B7672" s="5" t="s">
        <v>6914</v>
      </c>
      <c r="C7672" s="5" t="s">
        <v>11</v>
      </c>
      <c r="D7672" s="5" t="s">
        <v>12</v>
      </c>
      <c r="E7672" s="5" t="s">
        <v>3962</v>
      </c>
    </row>
    <row r="7673" spans="1:5" x14ac:dyDescent="0.25">
      <c r="A7673" s="5">
        <f>7665</f>
      </c>
      <c r="B7673" s="5" t="s">
        <v>6915</v>
      </c>
      <c r="C7673" s="5" t="s">
        <v>11</v>
      </c>
      <c r="D7673" s="5" t="s">
        <v>12</v>
      </c>
      <c r="E7673" s="5" t="s">
        <v>3962</v>
      </c>
    </row>
    <row r="7674" spans="1:5" x14ac:dyDescent="0.25">
      <c r="A7674" s="5">
        <f>7666</f>
      </c>
      <c r="B7674" s="5" t="s">
        <v>6916</v>
      </c>
      <c r="C7674" s="5" t="s">
        <v>11</v>
      </c>
      <c r="D7674" s="5" t="s">
        <v>12</v>
      </c>
      <c r="E7674" s="5" t="s">
        <v>3962</v>
      </c>
    </row>
    <row r="7675" spans="1:5" x14ac:dyDescent="0.25">
      <c r="A7675" s="5">
        <f>7667</f>
      </c>
      <c r="B7675" s="5" t="s">
        <v>6917</v>
      </c>
      <c r="C7675" s="5" t="s">
        <v>11</v>
      </c>
      <c r="D7675" s="5" t="s">
        <v>12</v>
      </c>
      <c r="E7675" s="5" t="s">
        <v>3962</v>
      </c>
    </row>
    <row r="7676" spans="1:5" x14ac:dyDescent="0.25">
      <c r="A7676" s="5">
        <f>7668</f>
      </c>
      <c r="B7676" s="5" t="s">
        <v>6918</v>
      </c>
      <c r="C7676" s="5" t="s">
        <v>11</v>
      </c>
      <c r="D7676" s="5" t="s">
        <v>12</v>
      </c>
      <c r="E7676" s="5" t="s">
        <v>3962</v>
      </c>
    </row>
    <row r="7677" spans="1:5" x14ac:dyDescent="0.25">
      <c r="A7677" s="5">
        <f>7669</f>
      </c>
      <c r="B7677" s="5" t="s">
        <v>6919</v>
      </c>
      <c r="C7677" s="5" t="s">
        <v>11</v>
      </c>
      <c r="D7677" s="5" t="s">
        <v>12</v>
      </c>
      <c r="E7677" s="5" t="s">
        <v>3962</v>
      </c>
    </row>
    <row r="7678" spans="1:5" x14ac:dyDescent="0.25">
      <c r="A7678" s="5">
        <f>7670</f>
      </c>
      <c r="B7678" s="5" t="s">
        <v>6920</v>
      </c>
      <c r="C7678" s="5" t="s">
        <v>11</v>
      </c>
      <c r="D7678" s="5" t="s">
        <v>12</v>
      </c>
      <c r="E7678" s="5" t="s">
        <v>3962</v>
      </c>
    </row>
    <row r="7679" spans="1:5" x14ac:dyDescent="0.25">
      <c r="A7679" s="5">
        <f>7671</f>
      </c>
      <c r="B7679" s="5" t="s">
        <v>6921</v>
      </c>
      <c r="C7679" s="5" t="s">
        <v>11</v>
      </c>
      <c r="D7679" s="5" t="s">
        <v>12</v>
      </c>
      <c r="E7679" s="5" t="s">
        <v>3962</v>
      </c>
    </row>
    <row r="7680" spans="1:5" x14ac:dyDescent="0.25">
      <c r="A7680" s="5">
        <f>7672</f>
      </c>
      <c r="B7680" s="5" t="s">
        <v>6922</v>
      </c>
      <c r="C7680" s="5" t="s">
        <v>11</v>
      </c>
      <c r="D7680" s="5" t="s">
        <v>12</v>
      </c>
      <c r="E7680" s="5" t="s">
        <v>3962</v>
      </c>
    </row>
    <row r="7681" spans="1:5" x14ac:dyDescent="0.25">
      <c r="A7681" s="5">
        <f>7673</f>
      </c>
      <c r="B7681" s="5" t="s">
        <v>6923</v>
      </c>
      <c r="C7681" s="5" t="s">
        <v>11</v>
      </c>
      <c r="D7681" s="5" t="s">
        <v>12</v>
      </c>
      <c r="E7681" s="5" t="s">
        <v>3962</v>
      </c>
    </row>
    <row r="7682" spans="1:5" x14ac:dyDescent="0.25">
      <c r="A7682" s="5">
        <f>7674</f>
      </c>
      <c r="B7682" s="5" t="s">
        <v>6924</v>
      </c>
      <c r="C7682" s="5" t="s">
        <v>11</v>
      </c>
      <c r="D7682" s="5" t="s">
        <v>12</v>
      </c>
      <c r="E7682" s="5" t="s">
        <v>3962</v>
      </c>
    </row>
    <row r="7683" spans="1:5" x14ac:dyDescent="0.25">
      <c r="A7683" s="5">
        <f>7675</f>
      </c>
      <c r="B7683" s="5" t="s">
        <v>6925</v>
      </c>
      <c r="C7683" s="5" t="s">
        <v>11</v>
      </c>
      <c r="D7683" s="5" t="s">
        <v>12</v>
      </c>
      <c r="E7683" s="5" t="s">
        <v>3962</v>
      </c>
    </row>
    <row r="7684" spans="1:5" x14ac:dyDescent="0.25">
      <c r="A7684" s="5">
        <f>7676</f>
      </c>
      <c r="B7684" s="5" t="s">
        <v>6926</v>
      </c>
      <c r="C7684" s="5" t="s">
        <v>11</v>
      </c>
      <c r="D7684" s="5" t="s">
        <v>12</v>
      </c>
      <c r="E7684" s="5" t="s">
        <v>3962</v>
      </c>
    </row>
    <row r="7685" spans="1:5" x14ac:dyDescent="0.25">
      <c r="A7685" s="5">
        <f>7677</f>
      </c>
      <c r="B7685" s="5" t="s">
        <v>6927</v>
      </c>
      <c r="C7685" s="5" t="s">
        <v>11</v>
      </c>
      <c r="D7685" s="5" t="s">
        <v>12</v>
      </c>
      <c r="E7685" s="5" t="s">
        <v>3962</v>
      </c>
    </row>
    <row r="7686" spans="1:5" x14ac:dyDescent="0.25">
      <c r="A7686" s="5">
        <f>7678</f>
      </c>
      <c r="B7686" s="5" t="s">
        <v>6928</v>
      </c>
      <c r="C7686" s="5" t="s">
        <v>11</v>
      </c>
      <c r="D7686" s="5" t="s">
        <v>12</v>
      </c>
      <c r="E7686" s="5" t="s">
        <v>3962</v>
      </c>
    </row>
    <row r="7687" spans="1:5" x14ac:dyDescent="0.25">
      <c r="A7687" s="5">
        <f>7679</f>
      </c>
      <c r="B7687" s="5" t="s">
        <v>6929</v>
      </c>
      <c r="C7687" s="5" t="s">
        <v>11</v>
      </c>
      <c r="D7687" s="5" t="s">
        <v>12</v>
      </c>
      <c r="E7687" s="5" t="s">
        <v>3962</v>
      </c>
    </row>
    <row r="7688" spans="1:5" x14ac:dyDescent="0.25">
      <c r="A7688" s="5">
        <f>7680</f>
      </c>
      <c r="B7688" s="5" t="s">
        <v>6930</v>
      </c>
      <c r="C7688" s="5" t="s">
        <v>11</v>
      </c>
      <c r="D7688" s="5" t="s">
        <v>12</v>
      </c>
      <c r="E7688" s="5" t="s">
        <v>3962</v>
      </c>
    </row>
    <row r="7689" spans="1:5" x14ac:dyDescent="0.25">
      <c r="A7689" s="5">
        <f>7681</f>
      </c>
      <c r="B7689" s="5" t="s">
        <v>6931</v>
      </c>
      <c r="C7689" s="5" t="s">
        <v>11</v>
      </c>
      <c r="D7689" s="5" t="s">
        <v>12</v>
      </c>
      <c r="E7689" s="5" t="s">
        <v>3962</v>
      </c>
    </row>
    <row r="7690" spans="1:5" x14ac:dyDescent="0.25">
      <c r="A7690" s="5">
        <f>7682</f>
      </c>
      <c r="B7690" s="5" t="s">
        <v>6932</v>
      </c>
      <c r="C7690" s="5" t="s">
        <v>11</v>
      </c>
      <c r="D7690" s="5" t="s">
        <v>12</v>
      </c>
      <c r="E7690" s="5" t="s">
        <v>3962</v>
      </c>
    </row>
    <row r="7691" spans="1:5" x14ac:dyDescent="0.25">
      <c r="A7691" s="5">
        <f>7683</f>
      </c>
      <c r="B7691" s="5" t="s">
        <v>6933</v>
      </c>
      <c r="C7691" s="5" t="s">
        <v>11</v>
      </c>
      <c r="D7691" s="5" t="s">
        <v>12</v>
      </c>
      <c r="E7691" s="5" t="s">
        <v>3962</v>
      </c>
    </row>
    <row r="7692" spans="1:5" x14ac:dyDescent="0.25">
      <c r="A7692" s="5">
        <f>7684</f>
      </c>
      <c r="B7692" s="5" t="s">
        <v>6934</v>
      </c>
      <c r="C7692" s="5" t="s">
        <v>11</v>
      </c>
      <c r="D7692" s="5" t="s">
        <v>12</v>
      </c>
      <c r="E7692" s="5" t="s">
        <v>3962</v>
      </c>
    </row>
    <row r="7693" spans="1:5" x14ac:dyDescent="0.25">
      <c r="A7693" s="5">
        <f>7685</f>
      </c>
      <c r="B7693" s="5" t="s">
        <v>6935</v>
      </c>
      <c r="C7693" s="5" t="s">
        <v>11</v>
      </c>
      <c r="D7693" s="5" t="s">
        <v>12</v>
      </c>
      <c r="E7693" s="5" t="s">
        <v>3962</v>
      </c>
    </row>
    <row r="7694" spans="1:5" x14ac:dyDescent="0.25">
      <c r="A7694" s="5">
        <f>7686</f>
      </c>
      <c r="B7694" s="5" t="s">
        <v>6936</v>
      </c>
      <c r="C7694" s="5" t="s">
        <v>11</v>
      </c>
      <c r="D7694" s="5" t="s">
        <v>12</v>
      </c>
      <c r="E7694" s="5" t="s">
        <v>3962</v>
      </c>
    </row>
    <row r="7695" spans="1:5" x14ac:dyDescent="0.25">
      <c r="A7695" s="5">
        <f>7687</f>
      </c>
      <c r="B7695" s="5" t="s">
        <v>6937</v>
      </c>
      <c r="C7695" s="5" t="s">
        <v>11</v>
      </c>
      <c r="D7695" s="5" t="s">
        <v>12</v>
      </c>
      <c r="E7695" s="5" t="s">
        <v>3962</v>
      </c>
    </row>
    <row r="7696" spans="1:5" x14ac:dyDescent="0.25">
      <c r="A7696" s="5">
        <f>7688</f>
      </c>
      <c r="B7696" s="5" t="s">
        <v>6938</v>
      </c>
      <c r="C7696" s="5" t="s">
        <v>11</v>
      </c>
      <c r="D7696" s="5" t="s">
        <v>12</v>
      </c>
      <c r="E7696" s="5" t="s">
        <v>3962</v>
      </c>
    </row>
    <row r="7697" spans="1:5" x14ac:dyDescent="0.25">
      <c r="A7697" s="5">
        <f>7689</f>
      </c>
      <c r="B7697" s="5" t="s">
        <v>6939</v>
      </c>
      <c r="C7697" s="5" t="s">
        <v>11</v>
      </c>
      <c r="D7697" s="5" t="s">
        <v>12</v>
      </c>
      <c r="E7697" s="5" t="s">
        <v>3962</v>
      </c>
    </row>
    <row r="7698" spans="1:5" x14ac:dyDescent="0.25">
      <c r="A7698" s="5">
        <f>7690</f>
      </c>
      <c r="B7698" s="5" t="s">
        <v>6940</v>
      </c>
      <c r="C7698" s="5" t="s">
        <v>11</v>
      </c>
      <c r="D7698" s="5" t="s">
        <v>12</v>
      </c>
      <c r="E7698" s="5" t="s">
        <v>3962</v>
      </c>
    </row>
    <row r="7699" spans="1:5" x14ac:dyDescent="0.25">
      <c r="A7699" s="5">
        <f>7691</f>
      </c>
      <c r="B7699" s="5" t="s">
        <v>6941</v>
      </c>
      <c r="C7699" s="5" t="s">
        <v>11</v>
      </c>
      <c r="D7699" s="5" t="s">
        <v>12</v>
      </c>
      <c r="E7699" s="5" t="s">
        <v>3962</v>
      </c>
    </row>
    <row r="7700" spans="1:5" x14ac:dyDescent="0.25">
      <c r="A7700" s="5">
        <f>7692</f>
      </c>
      <c r="B7700" s="5" t="s">
        <v>6942</v>
      </c>
      <c r="C7700" s="5" t="s">
        <v>11</v>
      </c>
      <c r="D7700" s="5" t="s">
        <v>12</v>
      </c>
      <c r="E7700" s="5" t="s">
        <v>3962</v>
      </c>
    </row>
    <row r="7701" spans="1:5" x14ac:dyDescent="0.25">
      <c r="A7701" s="5">
        <f>7693</f>
      </c>
      <c r="B7701" s="5" t="s">
        <v>6943</v>
      </c>
      <c r="C7701" s="5" t="s">
        <v>11</v>
      </c>
      <c r="D7701" s="5" t="s">
        <v>12</v>
      </c>
      <c r="E7701" s="5" t="s">
        <v>3962</v>
      </c>
    </row>
    <row r="7702" spans="1:5" x14ac:dyDescent="0.25">
      <c r="A7702" s="5">
        <f>7694</f>
      </c>
      <c r="B7702" s="5" t="s">
        <v>6944</v>
      </c>
      <c r="C7702" s="5" t="s">
        <v>11</v>
      </c>
      <c r="D7702" s="5" t="s">
        <v>12</v>
      </c>
      <c r="E7702" s="5" t="s">
        <v>3962</v>
      </c>
    </row>
    <row r="7703" spans="1:5" x14ac:dyDescent="0.25">
      <c r="A7703" s="5">
        <f>7695</f>
      </c>
      <c r="B7703" s="5" t="s">
        <v>6945</v>
      </c>
      <c r="C7703" s="5" t="s">
        <v>11</v>
      </c>
      <c r="D7703" s="5" t="s">
        <v>12</v>
      </c>
      <c r="E7703" s="5" t="s">
        <v>3962</v>
      </c>
    </row>
    <row r="7704" spans="1:5" x14ac:dyDescent="0.25">
      <c r="A7704" s="5">
        <f>7696</f>
      </c>
      <c r="B7704" s="5" t="s">
        <v>6946</v>
      </c>
      <c r="C7704" s="5" t="s">
        <v>11</v>
      </c>
      <c r="D7704" s="5" t="s">
        <v>12</v>
      </c>
      <c r="E7704" s="5" t="s">
        <v>3962</v>
      </c>
    </row>
    <row r="7705" spans="1:5" x14ac:dyDescent="0.25">
      <c r="A7705" s="5">
        <f>7697</f>
      </c>
      <c r="B7705" s="5" t="s">
        <v>6947</v>
      </c>
      <c r="C7705" s="5" t="s">
        <v>11</v>
      </c>
      <c r="D7705" s="5" t="s">
        <v>12</v>
      </c>
      <c r="E7705" s="5" t="s">
        <v>3962</v>
      </c>
    </row>
    <row r="7706" spans="1:5" x14ac:dyDescent="0.25">
      <c r="A7706" s="5">
        <f>7698</f>
      </c>
      <c r="B7706" s="5" t="s">
        <v>6948</v>
      </c>
      <c r="C7706" s="5" t="s">
        <v>11</v>
      </c>
      <c r="D7706" s="5" t="s">
        <v>12</v>
      </c>
      <c r="E7706" s="5" t="s">
        <v>3962</v>
      </c>
    </row>
    <row r="7707" spans="1:5" x14ac:dyDescent="0.25">
      <c r="A7707" s="5">
        <f>7699</f>
      </c>
      <c r="B7707" s="5" t="s">
        <v>6949</v>
      </c>
      <c r="C7707" s="5" t="s">
        <v>11</v>
      </c>
      <c r="D7707" s="5" t="s">
        <v>12</v>
      </c>
      <c r="E7707" s="5" t="s">
        <v>3962</v>
      </c>
    </row>
    <row r="7708" spans="1:5" x14ac:dyDescent="0.25">
      <c r="A7708" s="5">
        <f>7700</f>
      </c>
      <c r="B7708" s="5" t="s">
        <v>6950</v>
      </c>
      <c r="C7708" s="5" t="s">
        <v>11</v>
      </c>
      <c r="D7708" s="5" t="s">
        <v>12</v>
      </c>
      <c r="E7708" s="5" t="s">
        <v>3962</v>
      </c>
    </row>
    <row r="7709" spans="1:5" x14ac:dyDescent="0.25">
      <c r="A7709" s="5">
        <f>7701</f>
      </c>
      <c r="B7709" s="5" t="s">
        <v>6951</v>
      </c>
      <c r="C7709" s="5" t="s">
        <v>11</v>
      </c>
      <c r="D7709" s="5" t="s">
        <v>12</v>
      </c>
      <c r="E7709" s="5" t="s">
        <v>3962</v>
      </c>
    </row>
    <row r="7710" spans="1:5" x14ac:dyDescent="0.25">
      <c r="A7710" s="5">
        <f>7702</f>
      </c>
      <c r="B7710" s="5" t="s">
        <v>6952</v>
      </c>
      <c r="C7710" s="5" t="s">
        <v>11</v>
      </c>
      <c r="D7710" s="5" t="s">
        <v>12</v>
      </c>
      <c r="E7710" s="5" t="s">
        <v>3962</v>
      </c>
    </row>
    <row r="7711" spans="1:5" x14ac:dyDescent="0.25">
      <c r="A7711" s="5">
        <f>7703</f>
      </c>
      <c r="B7711" s="5" t="s">
        <v>6953</v>
      </c>
      <c r="C7711" s="5" t="s">
        <v>11</v>
      </c>
      <c r="D7711" s="5" t="s">
        <v>12</v>
      </c>
      <c r="E7711" s="5" t="s">
        <v>3962</v>
      </c>
    </row>
    <row r="7712" spans="1:5" x14ac:dyDescent="0.25">
      <c r="A7712" s="5">
        <f>7704</f>
      </c>
      <c r="B7712" s="5" t="s">
        <v>6954</v>
      </c>
      <c r="C7712" s="5" t="s">
        <v>11</v>
      </c>
      <c r="D7712" s="5" t="s">
        <v>12</v>
      </c>
      <c r="E7712" s="5" t="s">
        <v>3962</v>
      </c>
    </row>
    <row r="7713" spans="1:5" x14ac:dyDescent="0.25">
      <c r="A7713" s="5">
        <f>7705</f>
      </c>
      <c r="B7713" s="5" t="s">
        <v>6955</v>
      </c>
      <c r="C7713" s="5" t="s">
        <v>11</v>
      </c>
      <c r="D7713" s="5" t="s">
        <v>12</v>
      </c>
      <c r="E7713" s="5" t="s">
        <v>3962</v>
      </c>
    </row>
    <row r="7714" spans="1:5" x14ac:dyDescent="0.25">
      <c r="A7714" s="5">
        <f>7706</f>
      </c>
      <c r="B7714" s="5" t="s">
        <v>6956</v>
      </c>
      <c r="C7714" s="5" t="s">
        <v>11</v>
      </c>
      <c r="D7714" s="5" t="s">
        <v>12</v>
      </c>
      <c r="E7714" s="5" t="s">
        <v>3962</v>
      </c>
    </row>
    <row r="7715" spans="1:5" x14ac:dyDescent="0.25">
      <c r="A7715" s="5">
        <f>7707</f>
      </c>
      <c r="B7715" s="5" t="s">
        <v>6957</v>
      </c>
      <c r="C7715" s="5" t="s">
        <v>11</v>
      </c>
      <c r="D7715" s="5" t="s">
        <v>12</v>
      </c>
      <c r="E7715" s="5" t="s">
        <v>3962</v>
      </c>
    </row>
    <row r="7716" spans="1:5" x14ac:dyDescent="0.25">
      <c r="A7716" s="5">
        <f>7708</f>
      </c>
      <c r="B7716" s="5" t="s">
        <v>6958</v>
      </c>
      <c r="C7716" s="5" t="s">
        <v>11</v>
      </c>
      <c r="D7716" s="5" t="s">
        <v>12</v>
      </c>
      <c r="E7716" s="5" t="s">
        <v>3962</v>
      </c>
    </row>
    <row r="7717" spans="1:5" x14ac:dyDescent="0.25">
      <c r="A7717" s="5">
        <f>7709</f>
      </c>
      <c r="B7717" s="5" t="s">
        <v>6959</v>
      </c>
      <c r="C7717" s="5" t="s">
        <v>11</v>
      </c>
      <c r="D7717" s="5" t="s">
        <v>12</v>
      </c>
      <c r="E7717" s="5" t="s">
        <v>3962</v>
      </c>
    </row>
    <row r="7718" spans="1:5" x14ac:dyDescent="0.25">
      <c r="A7718" s="5">
        <f>7710</f>
      </c>
      <c r="B7718" s="5" t="s">
        <v>6960</v>
      </c>
      <c r="C7718" s="5" t="s">
        <v>11</v>
      </c>
      <c r="D7718" s="5" t="s">
        <v>12</v>
      </c>
      <c r="E7718" s="5" t="s">
        <v>3962</v>
      </c>
    </row>
    <row r="7719" spans="1:5" x14ac:dyDescent="0.25">
      <c r="A7719" s="5">
        <f>7711</f>
      </c>
      <c r="B7719" s="5" t="s">
        <v>6961</v>
      </c>
      <c r="C7719" s="5" t="s">
        <v>11</v>
      </c>
      <c r="D7719" s="5" t="s">
        <v>12</v>
      </c>
      <c r="E7719" s="5" t="s">
        <v>3962</v>
      </c>
    </row>
    <row r="7720" spans="1:5" x14ac:dyDescent="0.25">
      <c r="A7720" s="5">
        <f>7712</f>
      </c>
      <c r="B7720" s="5" t="s">
        <v>6962</v>
      </c>
      <c r="C7720" s="5" t="s">
        <v>11</v>
      </c>
      <c r="D7720" s="5" t="s">
        <v>12</v>
      </c>
      <c r="E7720" s="5" t="s">
        <v>3962</v>
      </c>
    </row>
    <row r="7721" spans="1:5" x14ac:dyDescent="0.25">
      <c r="A7721" s="5">
        <f>7713</f>
      </c>
      <c r="B7721" s="5" t="s">
        <v>6963</v>
      </c>
      <c r="C7721" s="5" t="s">
        <v>11</v>
      </c>
      <c r="D7721" s="5" t="s">
        <v>12</v>
      </c>
      <c r="E7721" s="5" t="s">
        <v>3962</v>
      </c>
    </row>
    <row r="7722" spans="1:5" x14ac:dyDescent="0.25">
      <c r="A7722" s="5">
        <f>7714</f>
      </c>
      <c r="B7722" s="5" t="s">
        <v>6964</v>
      </c>
      <c r="C7722" s="5" t="s">
        <v>11</v>
      </c>
      <c r="D7722" s="5" t="s">
        <v>12</v>
      </c>
      <c r="E7722" s="5" t="s">
        <v>3962</v>
      </c>
    </row>
    <row r="7723" spans="1:5" x14ac:dyDescent="0.25">
      <c r="A7723" s="5">
        <f>7715</f>
      </c>
      <c r="B7723" s="5" t="s">
        <v>6965</v>
      </c>
      <c r="C7723" s="5" t="s">
        <v>11</v>
      </c>
      <c r="D7723" s="5" t="s">
        <v>12</v>
      </c>
      <c r="E7723" s="5" t="s">
        <v>3962</v>
      </c>
    </row>
    <row r="7724" spans="1:5" x14ac:dyDescent="0.25">
      <c r="A7724" s="5">
        <f>7716</f>
      </c>
      <c r="B7724" s="5" t="s">
        <v>6966</v>
      </c>
      <c r="C7724" s="5" t="s">
        <v>11</v>
      </c>
      <c r="D7724" s="5" t="s">
        <v>12</v>
      </c>
      <c r="E7724" s="5" t="s">
        <v>3962</v>
      </c>
    </row>
    <row r="7725" spans="1:5" x14ac:dyDescent="0.25">
      <c r="A7725" s="5">
        <f>7717</f>
      </c>
      <c r="B7725" s="5" t="s">
        <v>6967</v>
      </c>
      <c r="C7725" s="5" t="s">
        <v>11</v>
      </c>
      <c r="D7725" s="5" t="s">
        <v>12</v>
      </c>
      <c r="E7725" s="5" t="s">
        <v>3962</v>
      </c>
    </row>
    <row r="7726" spans="1:5" x14ac:dyDescent="0.25">
      <c r="A7726" s="5">
        <f>7718</f>
      </c>
      <c r="B7726" s="5" t="s">
        <v>6968</v>
      </c>
      <c r="C7726" s="5" t="s">
        <v>11</v>
      </c>
      <c r="D7726" s="5" t="s">
        <v>12</v>
      </c>
      <c r="E7726" s="5" t="s">
        <v>3962</v>
      </c>
    </row>
    <row r="7727" spans="1:5" x14ac:dyDescent="0.25">
      <c r="A7727" s="5">
        <f>7719</f>
      </c>
      <c r="B7727" s="5" t="s">
        <v>6969</v>
      </c>
      <c r="C7727" s="5" t="s">
        <v>11</v>
      </c>
      <c r="D7727" s="5" t="s">
        <v>12</v>
      </c>
      <c r="E7727" s="5" t="s">
        <v>3962</v>
      </c>
    </row>
    <row r="7728" spans="1:5" x14ac:dyDescent="0.25">
      <c r="A7728" s="5">
        <f>7720</f>
      </c>
      <c r="B7728" s="5" t="s">
        <v>6970</v>
      </c>
      <c r="C7728" s="5" t="s">
        <v>11</v>
      </c>
      <c r="D7728" s="5" t="s">
        <v>12</v>
      </c>
      <c r="E7728" s="5" t="s">
        <v>3962</v>
      </c>
    </row>
    <row r="7729" spans="1:5" x14ac:dyDescent="0.25">
      <c r="A7729" s="5">
        <f>7721</f>
      </c>
      <c r="B7729" s="5" t="s">
        <v>6971</v>
      </c>
      <c r="C7729" s="5" t="s">
        <v>11</v>
      </c>
      <c r="D7729" s="5" t="s">
        <v>12</v>
      </c>
      <c r="E7729" s="5" t="s">
        <v>3962</v>
      </c>
    </row>
    <row r="7730" spans="1:5" x14ac:dyDescent="0.25">
      <c r="A7730" s="5">
        <f>7722</f>
      </c>
      <c r="B7730" s="5" t="s">
        <v>6972</v>
      </c>
      <c r="C7730" s="5" t="s">
        <v>11</v>
      </c>
      <c r="D7730" s="5" t="s">
        <v>12</v>
      </c>
      <c r="E7730" s="5" t="s">
        <v>3962</v>
      </c>
    </row>
    <row r="7731" spans="1:5" x14ac:dyDescent="0.25">
      <c r="A7731" s="5">
        <f>7723</f>
      </c>
      <c r="B7731" s="5" t="s">
        <v>6973</v>
      </c>
      <c r="C7731" s="5" t="s">
        <v>11</v>
      </c>
      <c r="D7731" s="5" t="s">
        <v>12</v>
      </c>
      <c r="E7731" s="5" t="s">
        <v>3962</v>
      </c>
    </row>
    <row r="7732" spans="1:5" x14ac:dyDescent="0.25">
      <c r="A7732" s="5">
        <f>7724</f>
      </c>
      <c r="B7732" s="5" t="s">
        <v>6974</v>
      </c>
      <c r="C7732" s="5" t="s">
        <v>11</v>
      </c>
      <c r="D7732" s="5" t="s">
        <v>12</v>
      </c>
      <c r="E7732" s="5" t="s">
        <v>3962</v>
      </c>
    </row>
    <row r="7733" spans="1:5" x14ac:dyDescent="0.25">
      <c r="A7733" s="5">
        <f>7725</f>
      </c>
      <c r="B7733" s="5" t="s">
        <v>6975</v>
      </c>
      <c r="C7733" s="5" t="s">
        <v>11</v>
      </c>
      <c r="D7733" s="5" t="s">
        <v>12</v>
      </c>
      <c r="E7733" s="5" t="s">
        <v>3962</v>
      </c>
    </row>
    <row r="7734" spans="1:5" x14ac:dyDescent="0.25">
      <c r="A7734" s="5">
        <f>7726</f>
      </c>
      <c r="B7734" s="5" t="s">
        <v>6976</v>
      </c>
      <c r="C7734" s="5" t="s">
        <v>11</v>
      </c>
      <c r="D7734" s="5" t="s">
        <v>12</v>
      </c>
      <c r="E7734" s="5" t="s">
        <v>3962</v>
      </c>
    </row>
    <row r="7735" spans="1:5" x14ac:dyDescent="0.25">
      <c r="A7735" s="5">
        <f>7727</f>
      </c>
      <c r="B7735" s="5" t="s">
        <v>6977</v>
      </c>
      <c r="C7735" s="5" t="s">
        <v>11</v>
      </c>
      <c r="D7735" s="5" t="s">
        <v>12</v>
      </c>
      <c r="E7735" s="5" t="s">
        <v>3962</v>
      </c>
    </row>
    <row r="7736" spans="1:5" x14ac:dyDescent="0.25">
      <c r="A7736" s="5">
        <f>7728</f>
      </c>
      <c r="B7736" s="5" t="s">
        <v>6978</v>
      </c>
      <c r="C7736" s="5" t="s">
        <v>11</v>
      </c>
      <c r="D7736" s="5" t="s">
        <v>12</v>
      </c>
      <c r="E7736" s="5" t="s">
        <v>3962</v>
      </c>
    </row>
    <row r="7737" spans="1:5" x14ac:dyDescent="0.25">
      <c r="A7737" s="5">
        <f>7729</f>
      </c>
      <c r="B7737" s="5" t="s">
        <v>6979</v>
      </c>
      <c r="C7737" s="5" t="s">
        <v>11</v>
      </c>
      <c r="D7737" s="5" t="s">
        <v>12</v>
      </c>
      <c r="E7737" s="5" t="s">
        <v>3962</v>
      </c>
    </row>
    <row r="7738" spans="1:5" x14ac:dyDescent="0.25">
      <c r="A7738" s="5">
        <f>7730</f>
      </c>
      <c r="B7738" s="5" t="s">
        <v>6980</v>
      </c>
      <c r="C7738" s="5" t="s">
        <v>11</v>
      </c>
      <c r="D7738" s="5" t="s">
        <v>12</v>
      </c>
      <c r="E7738" s="5" t="s">
        <v>3962</v>
      </c>
    </row>
    <row r="7739" spans="1:5" x14ac:dyDescent="0.25">
      <c r="A7739" s="5">
        <f>7731</f>
      </c>
      <c r="B7739" s="5" t="s">
        <v>6981</v>
      </c>
      <c r="C7739" s="5" t="s">
        <v>11</v>
      </c>
      <c r="D7739" s="5" t="s">
        <v>12</v>
      </c>
      <c r="E7739" s="5" t="s">
        <v>3962</v>
      </c>
    </row>
    <row r="7740" spans="1:5" x14ac:dyDescent="0.25">
      <c r="A7740" s="5">
        <f>7732</f>
      </c>
      <c r="B7740" s="5" t="s">
        <v>6982</v>
      </c>
      <c r="C7740" s="5" t="s">
        <v>11</v>
      </c>
      <c r="D7740" s="5" t="s">
        <v>12</v>
      </c>
      <c r="E7740" s="5" t="s">
        <v>3962</v>
      </c>
    </row>
    <row r="7741" spans="1:5" x14ac:dyDescent="0.25">
      <c r="A7741" s="5">
        <f>7733</f>
      </c>
      <c r="B7741" s="5" t="s">
        <v>6983</v>
      </c>
      <c r="C7741" s="5" t="s">
        <v>11</v>
      </c>
      <c r="D7741" s="5" t="s">
        <v>12</v>
      </c>
      <c r="E7741" s="5" t="s">
        <v>3962</v>
      </c>
    </row>
    <row r="7742" spans="1:5" x14ac:dyDescent="0.25">
      <c r="A7742" s="5">
        <f>7734</f>
      </c>
      <c r="B7742" s="5" t="s">
        <v>6984</v>
      </c>
      <c r="C7742" s="5" t="s">
        <v>11</v>
      </c>
      <c r="D7742" s="5" t="s">
        <v>12</v>
      </c>
      <c r="E7742" s="5" t="s">
        <v>3962</v>
      </c>
    </row>
    <row r="7743" spans="1:5" x14ac:dyDescent="0.25">
      <c r="A7743" s="5">
        <f>7735</f>
      </c>
      <c r="B7743" s="5" t="s">
        <v>6985</v>
      </c>
      <c r="C7743" s="5" t="s">
        <v>11</v>
      </c>
      <c r="D7743" s="5" t="s">
        <v>12</v>
      </c>
      <c r="E7743" s="5" t="s">
        <v>3962</v>
      </c>
    </row>
    <row r="7744" spans="1:5" x14ac:dyDescent="0.25">
      <c r="A7744" s="5">
        <f>7736</f>
      </c>
      <c r="B7744" s="5" t="s">
        <v>6986</v>
      </c>
      <c r="C7744" s="5" t="s">
        <v>11</v>
      </c>
      <c r="D7744" s="5" t="s">
        <v>12</v>
      </c>
      <c r="E7744" s="5" t="s">
        <v>3962</v>
      </c>
    </row>
    <row r="7745" spans="1:5" x14ac:dyDescent="0.25">
      <c r="A7745" s="5">
        <f>7737</f>
      </c>
      <c r="B7745" s="5" t="s">
        <v>6987</v>
      </c>
      <c r="C7745" s="5" t="s">
        <v>11</v>
      </c>
      <c r="D7745" s="5" t="s">
        <v>12</v>
      </c>
      <c r="E7745" s="5" t="s">
        <v>3962</v>
      </c>
    </row>
    <row r="7746" spans="1:5" x14ac:dyDescent="0.25">
      <c r="A7746" s="5">
        <f>7738</f>
      </c>
      <c r="B7746" s="5" t="s">
        <v>6988</v>
      </c>
      <c r="C7746" s="5" t="s">
        <v>11</v>
      </c>
      <c r="D7746" s="5" t="s">
        <v>12</v>
      </c>
      <c r="E7746" s="5" t="s">
        <v>3962</v>
      </c>
    </row>
    <row r="7747" spans="1:5" x14ac:dyDescent="0.25">
      <c r="A7747" s="5">
        <f>7739</f>
      </c>
      <c r="B7747" s="5" t="s">
        <v>6989</v>
      </c>
      <c r="C7747" s="5" t="s">
        <v>11</v>
      </c>
      <c r="D7747" s="5" t="s">
        <v>12</v>
      </c>
      <c r="E7747" s="5" t="s">
        <v>3962</v>
      </c>
    </row>
    <row r="7748" spans="1:5" x14ac:dyDescent="0.25">
      <c r="A7748" s="5">
        <f>7740</f>
      </c>
      <c r="B7748" s="5" t="s">
        <v>6990</v>
      </c>
      <c r="C7748" s="5" t="s">
        <v>11</v>
      </c>
      <c r="D7748" s="5" t="s">
        <v>12</v>
      </c>
      <c r="E7748" s="5" t="s">
        <v>3962</v>
      </c>
    </row>
    <row r="7749" spans="1:5" x14ac:dyDescent="0.25">
      <c r="A7749" s="5">
        <f>7741</f>
      </c>
      <c r="B7749" s="5" t="s">
        <v>6991</v>
      </c>
      <c r="C7749" s="5" t="s">
        <v>11</v>
      </c>
      <c r="D7749" s="5" t="s">
        <v>12</v>
      </c>
      <c r="E7749" s="5" t="s">
        <v>3962</v>
      </c>
    </row>
    <row r="7750" spans="1:5" x14ac:dyDescent="0.25">
      <c r="A7750" s="5">
        <f>7742</f>
      </c>
      <c r="B7750" s="5" t="s">
        <v>6992</v>
      </c>
      <c r="C7750" s="5" t="s">
        <v>11</v>
      </c>
      <c r="D7750" s="5" t="s">
        <v>12</v>
      </c>
      <c r="E7750" s="5" t="s">
        <v>3962</v>
      </c>
    </row>
    <row r="7751" spans="1:5" x14ac:dyDescent="0.25">
      <c r="A7751" s="5">
        <f>7743</f>
      </c>
      <c r="B7751" s="5" t="s">
        <v>6993</v>
      </c>
      <c r="C7751" s="5" t="s">
        <v>11</v>
      </c>
      <c r="D7751" s="5" t="s">
        <v>12</v>
      </c>
      <c r="E7751" s="5" t="s">
        <v>3962</v>
      </c>
    </row>
    <row r="7752" spans="1:5" x14ac:dyDescent="0.25">
      <c r="A7752" s="5">
        <f>7744</f>
      </c>
      <c r="B7752" s="5" t="s">
        <v>6994</v>
      </c>
      <c r="C7752" s="5" t="s">
        <v>11</v>
      </c>
      <c r="D7752" s="5" t="s">
        <v>12</v>
      </c>
      <c r="E7752" s="5" t="s">
        <v>3962</v>
      </c>
    </row>
    <row r="7753" spans="1:5" x14ac:dyDescent="0.25">
      <c r="A7753" s="5">
        <f>7745</f>
      </c>
      <c r="B7753" s="5" t="s">
        <v>6995</v>
      </c>
      <c r="C7753" s="5" t="s">
        <v>11</v>
      </c>
      <c r="D7753" s="5" t="s">
        <v>12</v>
      </c>
      <c r="E7753" s="5" t="s">
        <v>3962</v>
      </c>
    </row>
    <row r="7754" spans="1:5" x14ac:dyDescent="0.25">
      <c r="A7754" s="5">
        <f>7746</f>
      </c>
      <c r="B7754" s="5" t="s">
        <v>6996</v>
      </c>
      <c r="C7754" s="5" t="s">
        <v>11</v>
      </c>
      <c r="D7754" s="5" t="s">
        <v>12</v>
      </c>
      <c r="E7754" s="5" t="s">
        <v>3962</v>
      </c>
    </row>
    <row r="7755" spans="1:5" x14ac:dyDescent="0.25">
      <c r="A7755" s="5">
        <f>7747</f>
      </c>
      <c r="B7755" s="5" t="s">
        <v>6997</v>
      </c>
      <c r="C7755" s="5" t="s">
        <v>11</v>
      </c>
      <c r="D7755" s="5" t="s">
        <v>12</v>
      </c>
      <c r="E7755" s="5" t="s">
        <v>3962</v>
      </c>
    </row>
    <row r="7756" spans="1:5" x14ac:dyDescent="0.25">
      <c r="A7756" s="5">
        <f>7748</f>
      </c>
      <c r="B7756" s="5" t="s">
        <v>6998</v>
      </c>
      <c r="C7756" s="5" t="s">
        <v>11</v>
      </c>
      <c r="D7756" s="5" t="s">
        <v>12</v>
      </c>
      <c r="E7756" s="5" t="s">
        <v>3962</v>
      </c>
    </row>
    <row r="7757" spans="1:5" x14ac:dyDescent="0.25">
      <c r="A7757" s="5">
        <f>7749</f>
      </c>
      <c r="B7757" s="5" t="s">
        <v>6999</v>
      </c>
      <c r="C7757" s="5" t="s">
        <v>11</v>
      </c>
      <c r="D7757" s="5" t="s">
        <v>12</v>
      </c>
      <c r="E7757" s="5" t="s">
        <v>3962</v>
      </c>
    </row>
    <row r="7758" spans="1:5" x14ac:dyDescent="0.25">
      <c r="A7758" s="5">
        <f>7750</f>
      </c>
      <c r="B7758" s="5" t="s">
        <v>7000</v>
      </c>
      <c r="C7758" s="5" t="s">
        <v>11</v>
      </c>
      <c r="D7758" s="5" t="s">
        <v>12</v>
      </c>
      <c r="E7758" s="5" t="s">
        <v>3962</v>
      </c>
    </row>
    <row r="7759" spans="1:5" x14ac:dyDescent="0.25">
      <c r="A7759" s="5">
        <f>7751</f>
      </c>
      <c r="B7759" s="5" t="s">
        <v>7001</v>
      </c>
      <c r="C7759" s="5" t="s">
        <v>11</v>
      </c>
      <c r="D7759" s="5" t="s">
        <v>12</v>
      </c>
      <c r="E7759" s="5" t="s">
        <v>3962</v>
      </c>
    </row>
    <row r="7760" spans="1:5" x14ac:dyDescent="0.25">
      <c r="A7760" s="5">
        <f>7752</f>
      </c>
      <c r="B7760" s="5" t="s">
        <v>7002</v>
      </c>
      <c r="C7760" s="5" t="s">
        <v>11</v>
      </c>
      <c r="D7760" s="5" t="s">
        <v>12</v>
      </c>
      <c r="E7760" s="5" t="s">
        <v>3962</v>
      </c>
    </row>
    <row r="7761" spans="1:5" x14ac:dyDescent="0.25">
      <c r="A7761" s="5">
        <f>7753</f>
      </c>
      <c r="B7761" s="5" t="s">
        <v>7003</v>
      </c>
      <c r="C7761" s="5" t="s">
        <v>11</v>
      </c>
      <c r="D7761" s="5" t="s">
        <v>12</v>
      </c>
      <c r="E7761" s="5" t="s">
        <v>3962</v>
      </c>
    </row>
    <row r="7762" spans="1:5" x14ac:dyDescent="0.25">
      <c r="A7762" s="5">
        <f>7754</f>
      </c>
      <c r="B7762" s="5" t="s">
        <v>7004</v>
      </c>
      <c r="C7762" s="5" t="s">
        <v>11</v>
      </c>
      <c r="D7762" s="5" t="s">
        <v>12</v>
      </c>
      <c r="E7762" s="5" t="s">
        <v>3962</v>
      </c>
    </row>
    <row r="7763" spans="1:5" x14ac:dyDescent="0.25">
      <c r="A7763" s="5">
        <f>7755</f>
      </c>
      <c r="B7763" s="5" t="s">
        <v>7005</v>
      </c>
      <c r="C7763" s="5" t="s">
        <v>11</v>
      </c>
      <c r="D7763" s="5" t="s">
        <v>12</v>
      </c>
      <c r="E7763" s="5" t="s">
        <v>3962</v>
      </c>
    </row>
    <row r="7764" spans="1:5" x14ac:dyDescent="0.25">
      <c r="A7764" s="5">
        <f>7756</f>
      </c>
      <c r="B7764" s="5" t="s">
        <v>7006</v>
      </c>
      <c r="C7764" s="5" t="s">
        <v>11</v>
      </c>
      <c r="D7764" s="5" t="s">
        <v>12</v>
      </c>
      <c r="E7764" s="5" t="s">
        <v>3962</v>
      </c>
    </row>
    <row r="7765" spans="1:5" x14ac:dyDescent="0.25">
      <c r="A7765" s="5">
        <f>7757</f>
      </c>
      <c r="B7765" s="5" t="s">
        <v>7007</v>
      </c>
      <c r="C7765" s="5" t="s">
        <v>11</v>
      </c>
      <c r="D7765" s="5" t="s">
        <v>12</v>
      </c>
      <c r="E7765" s="5" t="s">
        <v>3962</v>
      </c>
    </row>
    <row r="7766" spans="1:5" x14ac:dyDescent="0.25">
      <c r="A7766" s="5">
        <f>7758</f>
      </c>
      <c r="B7766" s="5" t="s">
        <v>7008</v>
      </c>
      <c r="C7766" s="5" t="s">
        <v>11</v>
      </c>
      <c r="D7766" s="5" t="s">
        <v>12</v>
      </c>
      <c r="E7766" s="5" t="s">
        <v>3962</v>
      </c>
    </row>
    <row r="7767" spans="1:5" x14ac:dyDescent="0.25">
      <c r="A7767" s="5">
        <f>7759</f>
      </c>
      <c r="B7767" s="5" t="s">
        <v>7009</v>
      </c>
      <c r="C7767" s="5" t="s">
        <v>11</v>
      </c>
      <c r="D7767" s="5" t="s">
        <v>12</v>
      </c>
      <c r="E7767" s="5" t="s">
        <v>3962</v>
      </c>
    </row>
    <row r="7768" spans="1:5" x14ac:dyDescent="0.25">
      <c r="A7768" s="5">
        <f>7760</f>
      </c>
      <c r="B7768" s="5" t="s">
        <v>7010</v>
      </c>
      <c r="C7768" s="5" t="s">
        <v>11</v>
      </c>
      <c r="D7768" s="5" t="s">
        <v>12</v>
      </c>
      <c r="E7768" s="5" t="s">
        <v>3962</v>
      </c>
    </row>
    <row r="7769" spans="1:5" x14ac:dyDescent="0.25">
      <c r="A7769" s="5">
        <f>7761</f>
      </c>
      <c r="B7769" s="5" t="s">
        <v>7011</v>
      </c>
      <c r="C7769" s="5" t="s">
        <v>11</v>
      </c>
      <c r="D7769" s="5" t="s">
        <v>12</v>
      </c>
      <c r="E7769" s="5" t="s">
        <v>3962</v>
      </c>
    </row>
    <row r="7770" spans="1:5" x14ac:dyDescent="0.25">
      <c r="A7770" s="5">
        <f>7762</f>
      </c>
      <c r="B7770" s="5" t="s">
        <v>7012</v>
      </c>
      <c r="C7770" s="5" t="s">
        <v>11</v>
      </c>
      <c r="D7770" s="5" t="s">
        <v>12</v>
      </c>
      <c r="E7770" s="5" t="s">
        <v>3962</v>
      </c>
    </row>
    <row r="7771" spans="1:5" x14ac:dyDescent="0.25">
      <c r="A7771" s="5">
        <f>7763</f>
      </c>
      <c r="B7771" s="5" t="s">
        <v>7013</v>
      </c>
      <c r="C7771" s="5" t="s">
        <v>11</v>
      </c>
      <c r="D7771" s="5" t="s">
        <v>12</v>
      </c>
      <c r="E7771" s="5" t="s">
        <v>3962</v>
      </c>
    </row>
    <row r="7772" spans="1:5" x14ac:dyDescent="0.25">
      <c r="A7772" s="5">
        <f>7764</f>
      </c>
      <c r="B7772" s="5" t="s">
        <v>7014</v>
      </c>
      <c r="C7772" s="5" t="s">
        <v>11</v>
      </c>
      <c r="D7772" s="5" t="s">
        <v>12</v>
      </c>
      <c r="E7772" s="5" t="s">
        <v>3962</v>
      </c>
    </row>
    <row r="7773" spans="1:5" x14ac:dyDescent="0.25">
      <c r="A7773" s="5">
        <f>7765</f>
      </c>
      <c r="B7773" s="5" t="s">
        <v>7015</v>
      </c>
      <c r="C7773" s="5" t="s">
        <v>11</v>
      </c>
      <c r="D7773" s="5" t="s">
        <v>12</v>
      </c>
      <c r="E7773" s="5" t="s">
        <v>3962</v>
      </c>
    </row>
    <row r="7774" spans="1:5" x14ac:dyDescent="0.25">
      <c r="A7774" s="5">
        <f>7766</f>
      </c>
      <c r="B7774" s="5" t="s">
        <v>7016</v>
      </c>
      <c r="C7774" s="5" t="s">
        <v>11</v>
      </c>
      <c r="D7774" s="5" t="s">
        <v>12</v>
      </c>
      <c r="E7774" s="5" t="s">
        <v>3962</v>
      </c>
    </row>
    <row r="7775" spans="1:5" x14ac:dyDescent="0.25">
      <c r="A7775" s="5">
        <f>7767</f>
      </c>
      <c r="B7775" s="5" t="s">
        <v>7017</v>
      </c>
      <c r="C7775" s="5" t="s">
        <v>11</v>
      </c>
      <c r="D7775" s="5" t="s">
        <v>12</v>
      </c>
      <c r="E7775" s="5" t="s">
        <v>3962</v>
      </c>
    </row>
    <row r="7776" spans="1:5" x14ac:dyDescent="0.25">
      <c r="A7776" s="5">
        <f>7768</f>
      </c>
      <c r="B7776" s="5" t="s">
        <v>7018</v>
      </c>
      <c r="C7776" s="5" t="s">
        <v>11</v>
      </c>
      <c r="D7776" s="5" t="s">
        <v>12</v>
      </c>
      <c r="E7776" s="5" t="s">
        <v>3962</v>
      </c>
    </row>
    <row r="7777" spans="1:5" x14ac:dyDescent="0.25">
      <c r="A7777" s="5">
        <f>7769</f>
      </c>
      <c r="B7777" s="5" t="s">
        <v>7019</v>
      </c>
      <c r="C7777" s="5" t="s">
        <v>11</v>
      </c>
      <c r="D7777" s="5" t="s">
        <v>12</v>
      </c>
      <c r="E7777" s="5" t="s">
        <v>3962</v>
      </c>
    </row>
    <row r="7778" spans="1:5" x14ac:dyDescent="0.25">
      <c r="A7778" s="5">
        <f>7770</f>
      </c>
      <c r="B7778" s="5" t="s">
        <v>7020</v>
      </c>
      <c r="C7778" s="5" t="s">
        <v>11</v>
      </c>
      <c r="D7778" s="5" t="s">
        <v>12</v>
      </c>
      <c r="E7778" s="5" t="s">
        <v>3962</v>
      </c>
    </row>
    <row r="7779" spans="1:5" x14ac:dyDescent="0.25">
      <c r="A7779" s="5">
        <f>7771</f>
      </c>
      <c r="B7779" s="5" t="s">
        <v>7021</v>
      </c>
      <c r="C7779" s="5" t="s">
        <v>11</v>
      </c>
      <c r="D7779" s="5" t="s">
        <v>12</v>
      </c>
      <c r="E7779" s="5" t="s">
        <v>3962</v>
      </c>
    </row>
    <row r="7780" spans="1:5" x14ac:dyDescent="0.25">
      <c r="A7780" s="5">
        <f>7772</f>
      </c>
      <c r="B7780" s="5" t="s">
        <v>7022</v>
      </c>
      <c r="C7780" s="5" t="s">
        <v>11</v>
      </c>
      <c r="D7780" s="5" t="s">
        <v>12</v>
      </c>
      <c r="E7780" s="5" t="s">
        <v>3962</v>
      </c>
    </row>
    <row r="7781" spans="1:5" x14ac:dyDescent="0.25">
      <c r="A7781" s="5">
        <f>7773</f>
      </c>
      <c r="B7781" s="5" t="s">
        <v>7023</v>
      </c>
      <c r="C7781" s="5" t="s">
        <v>11</v>
      </c>
      <c r="D7781" s="5" t="s">
        <v>12</v>
      </c>
      <c r="E7781" s="5" t="s">
        <v>3962</v>
      </c>
    </row>
    <row r="7782" spans="1:5" x14ac:dyDescent="0.25">
      <c r="A7782" s="5">
        <f>7774</f>
      </c>
      <c r="B7782" s="5" t="s">
        <v>7024</v>
      </c>
      <c r="C7782" s="5" t="s">
        <v>11</v>
      </c>
      <c r="D7782" s="5" t="s">
        <v>12</v>
      </c>
      <c r="E7782" s="5" t="s">
        <v>3962</v>
      </c>
    </row>
    <row r="7783" spans="1:5" x14ac:dyDescent="0.25">
      <c r="A7783" s="5">
        <f>7775</f>
      </c>
      <c r="B7783" s="5" t="s">
        <v>7025</v>
      </c>
      <c r="C7783" s="5" t="s">
        <v>11</v>
      </c>
      <c r="D7783" s="5" t="s">
        <v>12</v>
      </c>
      <c r="E7783" s="5" t="s">
        <v>830</v>
      </c>
    </row>
    <row r="7784" spans="1:5" x14ac:dyDescent="0.25">
      <c r="A7784" s="5">
        <f>7776</f>
      </c>
      <c r="B7784" s="5" t="s">
        <v>7026</v>
      </c>
      <c r="C7784" s="5" t="s">
        <v>11</v>
      </c>
      <c r="D7784" s="5" t="s">
        <v>12</v>
      </c>
      <c r="E7784" s="5" t="s">
        <v>830</v>
      </c>
    </row>
    <row r="7785" spans="1:5" x14ac:dyDescent="0.25">
      <c r="A7785" s="5">
        <f>7777</f>
      </c>
      <c r="B7785" s="5" t="s">
        <v>7027</v>
      </c>
      <c r="C7785" s="5" t="s">
        <v>11</v>
      </c>
      <c r="D7785" s="5" t="s">
        <v>12</v>
      </c>
      <c r="E7785" s="5" t="s">
        <v>2584</v>
      </c>
    </row>
    <row r="7786" spans="1:5" x14ac:dyDescent="0.25">
      <c r="A7786" s="5">
        <f>7778</f>
      </c>
      <c r="B7786" s="5" t="s">
        <v>7028</v>
      </c>
      <c r="C7786" s="5" t="s">
        <v>11</v>
      </c>
      <c r="D7786" s="5" t="s">
        <v>12</v>
      </c>
      <c r="E7786" s="5" t="s">
        <v>2584</v>
      </c>
    </row>
    <row r="7787" spans="1:5" x14ac:dyDescent="0.25">
      <c r="A7787" s="5">
        <f>7779</f>
      </c>
      <c r="B7787" s="5" t="s">
        <v>7029</v>
      </c>
      <c r="C7787" s="5" t="s">
        <v>11</v>
      </c>
      <c r="D7787" s="5" t="s">
        <v>12</v>
      </c>
      <c r="E7787" s="5" t="s">
        <v>2584</v>
      </c>
    </row>
    <row r="7788" spans="1:5" x14ac:dyDescent="0.25">
      <c r="A7788" s="5">
        <f>7780</f>
      </c>
      <c r="B7788" s="5" t="s">
        <v>7030</v>
      </c>
      <c r="C7788" s="5" t="s">
        <v>11</v>
      </c>
      <c r="D7788" s="5" t="s">
        <v>12</v>
      </c>
      <c r="E7788" s="5" t="s">
        <v>2584</v>
      </c>
    </row>
    <row r="7789" spans="1:5" x14ac:dyDescent="0.25">
      <c r="A7789" s="5">
        <f>7781</f>
      </c>
      <c r="B7789" s="5" t="s">
        <v>7031</v>
      </c>
      <c r="C7789" s="5" t="s">
        <v>11</v>
      </c>
      <c r="D7789" s="5" t="s">
        <v>12</v>
      </c>
      <c r="E7789" s="5" t="s">
        <v>2584</v>
      </c>
    </row>
    <row r="7790" spans="1:5" x14ac:dyDescent="0.25">
      <c r="A7790" s="5">
        <f>7782</f>
      </c>
      <c r="B7790" s="5" t="s">
        <v>7032</v>
      </c>
      <c r="C7790" s="5" t="s">
        <v>11</v>
      </c>
      <c r="D7790" s="5" t="s">
        <v>12</v>
      </c>
      <c r="E7790" s="5" t="s">
        <v>2584</v>
      </c>
    </row>
    <row r="7791" spans="1:5" x14ac:dyDescent="0.25">
      <c r="A7791" s="5">
        <f>7783</f>
      </c>
      <c r="B7791" s="5" t="s">
        <v>7033</v>
      </c>
      <c r="C7791" s="5" t="s">
        <v>11</v>
      </c>
      <c r="D7791" s="5" t="s">
        <v>12</v>
      </c>
      <c r="E7791" s="5" t="s">
        <v>2584</v>
      </c>
    </row>
    <row r="7792" spans="1:5" x14ac:dyDescent="0.25">
      <c r="A7792" s="5">
        <f>7784</f>
      </c>
      <c r="B7792" s="5" t="s">
        <v>7034</v>
      </c>
      <c r="C7792" s="5" t="s">
        <v>11</v>
      </c>
      <c r="D7792" s="5" t="s">
        <v>12</v>
      </c>
      <c r="E7792" s="5" t="s">
        <v>2584</v>
      </c>
    </row>
    <row r="7793" spans="1:5" x14ac:dyDescent="0.25">
      <c r="A7793" s="5">
        <f>7785</f>
      </c>
      <c r="B7793" s="5" t="s">
        <v>7035</v>
      </c>
      <c r="C7793" s="5" t="s">
        <v>11</v>
      </c>
      <c r="D7793" s="5" t="s">
        <v>12</v>
      </c>
      <c r="E7793" s="5" t="s">
        <v>2584</v>
      </c>
    </row>
    <row r="7794" spans="1:5" x14ac:dyDescent="0.25">
      <c r="A7794" s="5">
        <f>7786</f>
      </c>
      <c r="B7794" s="5" t="s">
        <v>7036</v>
      </c>
      <c r="C7794" s="5" t="s">
        <v>11</v>
      </c>
      <c r="D7794" s="5" t="s">
        <v>12</v>
      </c>
      <c r="E7794" s="5" t="s">
        <v>2584</v>
      </c>
    </row>
    <row r="7795" spans="1:5" x14ac:dyDescent="0.25">
      <c r="A7795" s="5">
        <f>7787</f>
      </c>
      <c r="B7795" s="5" t="s">
        <v>7037</v>
      </c>
      <c r="C7795" s="5" t="s">
        <v>11</v>
      </c>
      <c r="D7795" s="5" t="s">
        <v>12</v>
      </c>
      <c r="E7795" s="5" t="s">
        <v>2584</v>
      </c>
    </row>
    <row r="7796" spans="1:5" x14ac:dyDescent="0.25">
      <c r="A7796" s="5">
        <f>7788</f>
      </c>
      <c r="B7796" s="5" t="s">
        <v>7038</v>
      </c>
      <c r="C7796" s="5" t="s">
        <v>11</v>
      </c>
      <c r="D7796" s="5" t="s">
        <v>12</v>
      </c>
      <c r="E7796" s="5" t="s">
        <v>2584</v>
      </c>
    </row>
    <row r="7797" spans="1:5" x14ac:dyDescent="0.25">
      <c r="A7797" s="5">
        <f>7789</f>
      </c>
      <c r="B7797" s="5" t="s">
        <v>7039</v>
      </c>
      <c r="C7797" s="5" t="s">
        <v>11</v>
      </c>
      <c r="D7797" s="5" t="s">
        <v>12</v>
      </c>
      <c r="E7797" s="5" t="s">
        <v>2584</v>
      </c>
    </row>
    <row r="7798" spans="1:5" x14ac:dyDescent="0.25">
      <c r="A7798" s="5">
        <f>7790</f>
      </c>
      <c r="B7798" s="5" t="s">
        <v>7040</v>
      </c>
      <c r="C7798" s="5" t="s">
        <v>11</v>
      </c>
      <c r="D7798" s="5" t="s">
        <v>12</v>
      </c>
      <c r="E7798" s="5" t="s">
        <v>2584</v>
      </c>
    </row>
    <row r="7799" spans="1:5" x14ac:dyDescent="0.25">
      <c r="A7799" s="5">
        <f>7791</f>
      </c>
      <c r="B7799" s="5" t="s">
        <v>7041</v>
      </c>
      <c r="C7799" s="5" t="s">
        <v>11</v>
      </c>
      <c r="D7799" s="5" t="s">
        <v>12</v>
      </c>
      <c r="E7799" s="5" t="s">
        <v>2584</v>
      </c>
    </row>
    <row r="7800" spans="1:5" x14ac:dyDescent="0.25">
      <c r="A7800" s="5">
        <f>7792</f>
      </c>
      <c r="B7800" s="5" t="s">
        <v>7042</v>
      </c>
      <c r="C7800" s="5" t="s">
        <v>11</v>
      </c>
      <c r="D7800" s="5" t="s">
        <v>12</v>
      </c>
      <c r="E7800" s="5" t="s">
        <v>2584</v>
      </c>
    </row>
    <row r="7801" spans="1:5" x14ac:dyDescent="0.25">
      <c r="A7801" s="5">
        <f>7793</f>
      </c>
      <c r="B7801" s="5" t="s">
        <v>7043</v>
      </c>
      <c r="C7801" s="5" t="s">
        <v>11</v>
      </c>
      <c r="D7801" s="5" t="s">
        <v>12</v>
      </c>
      <c r="E7801" s="5" t="s">
        <v>2584</v>
      </c>
    </row>
    <row r="7802" spans="1:5" x14ac:dyDescent="0.25">
      <c r="A7802" s="5">
        <f>7794</f>
      </c>
      <c r="B7802" s="5" t="s">
        <v>7044</v>
      </c>
      <c r="C7802" s="5" t="s">
        <v>11</v>
      </c>
      <c r="D7802" s="5" t="s">
        <v>12</v>
      </c>
      <c r="E7802" s="5" t="s">
        <v>2584</v>
      </c>
    </row>
    <row r="7803" spans="1:5" x14ac:dyDescent="0.25">
      <c r="A7803" s="5">
        <f>7795</f>
      </c>
      <c r="B7803" s="5" t="s">
        <v>7045</v>
      </c>
      <c r="C7803" s="5" t="s">
        <v>11</v>
      </c>
      <c r="D7803" s="5" t="s">
        <v>12</v>
      </c>
      <c r="E7803" s="5" t="s">
        <v>2584</v>
      </c>
    </row>
    <row r="7804" spans="1:5" x14ac:dyDescent="0.25">
      <c r="A7804" s="5">
        <f>7796</f>
      </c>
      <c r="B7804" s="5" t="s">
        <v>7046</v>
      </c>
      <c r="C7804" s="5" t="s">
        <v>11</v>
      </c>
      <c r="D7804" s="5" t="s">
        <v>12</v>
      </c>
      <c r="E7804" s="5" t="s">
        <v>2584</v>
      </c>
    </row>
    <row r="7805" spans="1:5" x14ac:dyDescent="0.25">
      <c r="A7805" s="5">
        <f>7797</f>
      </c>
      <c r="B7805" s="5" t="s">
        <v>7047</v>
      </c>
      <c r="C7805" s="5" t="s">
        <v>11</v>
      </c>
      <c r="D7805" s="5" t="s">
        <v>12</v>
      </c>
      <c r="E7805" s="5" t="s">
        <v>2584</v>
      </c>
    </row>
    <row r="7806" spans="1:5" x14ac:dyDescent="0.25">
      <c r="A7806" s="5">
        <f>7798</f>
      </c>
      <c r="B7806" s="5" t="s">
        <v>7048</v>
      </c>
      <c r="C7806" s="5" t="s">
        <v>11</v>
      </c>
      <c r="D7806" s="5" t="s">
        <v>12</v>
      </c>
      <c r="E7806" s="5" t="s">
        <v>2584</v>
      </c>
    </row>
    <row r="7807" spans="1:5" x14ac:dyDescent="0.25">
      <c r="A7807" s="5">
        <f>7799</f>
      </c>
      <c r="B7807" s="5" t="s">
        <v>7049</v>
      </c>
      <c r="C7807" s="5" t="s">
        <v>11</v>
      </c>
      <c r="D7807" s="5" t="s">
        <v>12</v>
      </c>
      <c r="E7807" s="5" t="s">
        <v>2584</v>
      </c>
    </row>
    <row r="7808" spans="1:5" x14ac:dyDescent="0.25">
      <c r="A7808" s="5">
        <f>7800</f>
      </c>
      <c r="B7808" s="5" t="s">
        <v>7050</v>
      </c>
      <c r="C7808" s="5" t="s">
        <v>11</v>
      </c>
      <c r="D7808" s="5" t="s">
        <v>12</v>
      </c>
      <c r="E7808" s="5" t="s">
        <v>2584</v>
      </c>
    </row>
    <row r="7809" spans="1:5" x14ac:dyDescent="0.25">
      <c r="A7809" s="5">
        <f>7801</f>
      </c>
      <c r="B7809" s="5" t="s">
        <v>7051</v>
      </c>
      <c r="C7809" s="5" t="s">
        <v>11</v>
      </c>
      <c r="D7809" s="5" t="s">
        <v>12</v>
      </c>
      <c r="E7809" s="5" t="s">
        <v>3962</v>
      </c>
    </row>
    <row r="7810" spans="1:5" x14ac:dyDescent="0.25">
      <c r="A7810" s="5">
        <f>7802</f>
      </c>
      <c r="B7810" s="5" t="s">
        <v>7052</v>
      </c>
      <c r="C7810" s="5" t="s">
        <v>11</v>
      </c>
      <c r="D7810" s="5" t="s">
        <v>12</v>
      </c>
      <c r="E7810" s="5" t="s">
        <v>3962</v>
      </c>
    </row>
    <row r="7811" spans="1:5" x14ac:dyDescent="0.25">
      <c r="A7811" s="5">
        <f>7803</f>
      </c>
      <c r="B7811" s="5" t="s">
        <v>7053</v>
      </c>
      <c r="C7811" s="5" t="s">
        <v>11</v>
      </c>
      <c r="D7811" s="5" t="s">
        <v>12</v>
      </c>
      <c r="E7811" s="5" t="s">
        <v>3962</v>
      </c>
    </row>
    <row r="7812" spans="1:5" x14ac:dyDescent="0.25">
      <c r="A7812" s="5">
        <f>7804</f>
      </c>
      <c r="B7812" s="5" t="s">
        <v>7054</v>
      </c>
      <c r="C7812" s="5" t="s">
        <v>11</v>
      </c>
      <c r="D7812" s="5" t="s">
        <v>12</v>
      </c>
      <c r="E7812" s="5" t="s">
        <v>3962</v>
      </c>
    </row>
    <row r="7813" spans="1:5" x14ac:dyDescent="0.25">
      <c r="A7813" s="5">
        <f>7805</f>
      </c>
      <c r="B7813" s="5" t="s">
        <v>7055</v>
      </c>
      <c r="C7813" s="5" t="s">
        <v>11</v>
      </c>
      <c r="D7813" s="5" t="s">
        <v>12</v>
      </c>
      <c r="E7813" s="5" t="s">
        <v>3962</v>
      </c>
    </row>
    <row r="7814" spans="1:5" x14ac:dyDescent="0.25">
      <c r="A7814" s="5">
        <f>7806</f>
      </c>
      <c r="B7814" s="5" t="s">
        <v>7056</v>
      </c>
      <c r="C7814" s="5" t="s">
        <v>11</v>
      </c>
      <c r="D7814" s="5" t="s">
        <v>12</v>
      </c>
      <c r="E7814" s="5" t="s">
        <v>3962</v>
      </c>
    </row>
    <row r="7815" spans="1:5" x14ac:dyDescent="0.25">
      <c r="A7815" s="5">
        <f>7807</f>
      </c>
      <c r="B7815" s="5" t="s">
        <v>7057</v>
      </c>
      <c r="C7815" s="5" t="s">
        <v>11</v>
      </c>
      <c r="D7815" s="5" t="s">
        <v>12</v>
      </c>
      <c r="E7815" s="5" t="s">
        <v>3962</v>
      </c>
    </row>
    <row r="7816" spans="1:5" x14ac:dyDescent="0.25">
      <c r="A7816" s="5">
        <f>7808</f>
      </c>
      <c r="B7816" s="5" t="s">
        <v>7058</v>
      </c>
      <c r="C7816" s="5" t="s">
        <v>11</v>
      </c>
      <c r="D7816" s="5" t="s">
        <v>12</v>
      </c>
      <c r="E7816" s="5" t="s">
        <v>3962</v>
      </c>
    </row>
    <row r="7817" spans="1:5" x14ac:dyDescent="0.25">
      <c r="A7817" s="5">
        <f>7809</f>
      </c>
      <c r="B7817" s="5" t="s">
        <v>7059</v>
      </c>
      <c r="C7817" s="5" t="s">
        <v>11</v>
      </c>
      <c r="D7817" s="5" t="s">
        <v>12</v>
      </c>
      <c r="E7817" s="5" t="s">
        <v>3962</v>
      </c>
    </row>
    <row r="7818" spans="1:5" x14ac:dyDescent="0.25">
      <c r="A7818" s="5">
        <f>7810</f>
      </c>
      <c r="B7818" s="5" t="s">
        <v>7060</v>
      </c>
      <c r="C7818" s="5" t="s">
        <v>11</v>
      </c>
      <c r="D7818" s="5" t="s">
        <v>12</v>
      </c>
      <c r="E7818" s="5" t="s">
        <v>3962</v>
      </c>
    </row>
    <row r="7819" spans="1:5" x14ac:dyDescent="0.25">
      <c r="A7819" s="5">
        <f>7811</f>
      </c>
      <c r="B7819" s="5" t="s">
        <v>7061</v>
      </c>
      <c r="C7819" s="5" t="s">
        <v>11</v>
      </c>
      <c r="D7819" s="5" t="s">
        <v>12</v>
      </c>
      <c r="E7819" s="5" t="s">
        <v>3962</v>
      </c>
    </row>
    <row r="7820" spans="1:5" x14ac:dyDescent="0.25">
      <c r="A7820" s="5">
        <f>7812</f>
      </c>
      <c r="B7820" s="5" t="s">
        <v>7062</v>
      </c>
      <c r="C7820" s="5" t="s">
        <v>11</v>
      </c>
      <c r="D7820" s="5" t="s">
        <v>12</v>
      </c>
      <c r="E7820" s="5" t="s">
        <v>3962</v>
      </c>
    </row>
    <row r="7821" spans="1:5" x14ac:dyDescent="0.25">
      <c r="A7821" s="5">
        <f>7813</f>
      </c>
      <c r="B7821" s="5" t="s">
        <v>7063</v>
      </c>
      <c r="C7821" s="5" t="s">
        <v>11</v>
      </c>
      <c r="D7821" s="5" t="s">
        <v>12</v>
      </c>
      <c r="E7821" s="5" t="s">
        <v>3962</v>
      </c>
    </row>
    <row r="7822" spans="1:5" x14ac:dyDescent="0.25">
      <c r="A7822" s="5">
        <f>7814</f>
      </c>
      <c r="B7822" s="5" t="s">
        <v>7064</v>
      </c>
      <c r="C7822" s="5" t="s">
        <v>11</v>
      </c>
      <c r="D7822" s="5" t="s">
        <v>12</v>
      </c>
      <c r="E7822" s="5" t="s">
        <v>3962</v>
      </c>
    </row>
    <row r="7823" spans="1:5" x14ac:dyDescent="0.25">
      <c r="A7823" s="5">
        <f>7815</f>
      </c>
      <c r="B7823" s="5" t="s">
        <v>7065</v>
      </c>
      <c r="C7823" s="5" t="s">
        <v>11</v>
      </c>
      <c r="D7823" s="5" t="s">
        <v>12</v>
      </c>
      <c r="E7823" s="5" t="s">
        <v>3962</v>
      </c>
    </row>
    <row r="7824" spans="1:5" x14ac:dyDescent="0.25">
      <c r="A7824" s="5">
        <f>7816</f>
      </c>
      <c r="B7824" s="5" t="s">
        <v>7066</v>
      </c>
      <c r="C7824" s="5" t="s">
        <v>11</v>
      </c>
      <c r="D7824" s="5" t="s">
        <v>12</v>
      </c>
      <c r="E7824" s="5" t="s">
        <v>3962</v>
      </c>
    </row>
    <row r="7825" spans="1:5" x14ac:dyDescent="0.25">
      <c r="A7825" s="5">
        <f>7817</f>
      </c>
      <c r="B7825" s="5" t="s">
        <v>7067</v>
      </c>
      <c r="C7825" s="5" t="s">
        <v>11</v>
      </c>
      <c r="D7825" s="5" t="s">
        <v>12</v>
      </c>
      <c r="E7825" s="5" t="s">
        <v>3962</v>
      </c>
    </row>
    <row r="7826" spans="1:5" x14ac:dyDescent="0.25">
      <c r="A7826" s="5">
        <f>7818</f>
      </c>
      <c r="B7826" s="5" t="s">
        <v>7068</v>
      </c>
      <c r="C7826" s="5" t="s">
        <v>11</v>
      </c>
      <c r="D7826" s="5" t="s">
        <v>12</v>
      </c>
      <c r="E7826" s="5" t="s">
        <v>3962</v>
      </c>
    </row>
    <row r="7827" spans="1:5" x14ac:dyDescent="0.25">
      <c r="A7827" s="5">
        <f>7819</f>
      </c>
      <c r="B7827" s="5" t="s">
        <v>7069</v>
      </c>
      <c r="C7827" s="5" t="s">
        <v>11</v>
      </c>
      <c r="D7827" s="5" t="s">
        <v>12</v>
      </c>
      <c r="E7827" s="5" t="s">
        <v>3962</v>
      </c>
    </row>
    <row r="7828" spans="1:5" x14ac:dyDescent="0.25">
      <c r="A7828" s="5">
        <f>7820</f>
      </c>
      <c r="B7828" s="5" t="s">
        <v>7070</v>
      </c>
      <c r="C7828" s="5" t="s">
        <v>11</v>
      </c>
      <c r="D7828" s="5" t="s">
        <v>12</v>
      </c>
      <c r="E7828" s="5" t="s">
        <v>3962</v>
      </c>
    </row>
    <row r="7829" spans="1:5" x14ac:dyDescent="0.25">
      <c r="A7829" s="5">
        <f>7821</f>
      </c>
      <c r="B7829" s="5" t="s">
        <v>7071</v>
      </c>
      <c r="C7829" s="5" t="s">
        <v>11</v>
      </c>
      <c r="D7829" s="5" t="s">
        <v>12</v>
      </c>
      <c r="E7829" s="5" t="s">
        <v>3962</v>
      </c>
    </row>
    <row r="7830" spans="1:5" x14ac:dyDescent="0.25">
      <c r="A7830" s="5">
        <f>7822</f>
      </c>
      <c r="B7830" s="5" t="s">
        <v>7072</v>
      </c>
      <c r="C7830" s="5" t="s">
        <v>11</v>
      </c>
      <c r="D7830" s="5" t="s">
        <v>12</v>
      </c>
      <c r="E7830" s="5" t="s">
        <v>3962</v>
      </c>
    </row>
    <row r="7831" spans="1:5" x14ac:dyDescent="0.25">
      <c r="A7831" s="5">
        <f>7823</f>
      </c>
      <c r="B7831" s="5" t="s">
        <v>7073</v>
      </c>
      <c r="C7831" s="5" t="s">
        <v>11</v>
      </c>
      <c r="D7831" s="5" t="s">
        <v>12</v>
      </c>
      <c r="E7831" s="5" t="s">
        <v>3962</v>
      </c>
    </row>
    <row r="7832" spans="1:5" x14ac:dyDescent="0.25">
      <c r="A7832" s="5">
        <f>7824</f>
      </c>
      <c r="B7832" s="5" t="s">
        <v>7074</v>
      </c>
      <c r="C7832" s="5" t="s">
        <v>11</v>
      </c>
      <c r="D7832" s="5" t="s">
        <v>12</v>
      </c>
      <c r="E7832" s="5" t="s">
        <v>3962</v>
      </c>
    </row>
    <row r="7833" spans="1:5" x14ac:dyDescent="0.25">
      <c r="A7833" s="5">
        <f>7825</f>
      </c>
      <c r="B7833" s="5" t="s">
        <v>7075</v>
      </c>
      <c r="C7833" s="5" t="s">
        <v>11</v>
      </c>
      <c r="D7833" s="5" t="s">
        <v>12</v>
      </c>
      <c r="E7833" s="5" t="s">
        <v>3962</v>
      </c>
    </row>
    <row r="7834" spans="1:5" x14ac:dyDescent="0.25">
      <c r="A7834" s="5">
        <f>7826</f>
      </c>
      <c r="B7834" s="5" t="s">
        <v>7076</v>
      </c>
      <c r="C7834" s="5" t="s">
        <v>11</v>
      </c>
      <c r="D7834" s="5" t="s">
        <v>12</v>
      </c>
      <c r="E7834" s="5" t="s">
        <v>3962</v>
      </c>
    </row>
    <row r="7835" spans="1:5" x14ac:dyDescent="0.25">
      <c r="A7835" s="5">
        <f>7827</f>
      </c>
      <c r="B7835" s="5" t="s">
        <v>7077</v>
      </c>
      <c r="C7835" s="5" t="s">
        <v>11</v>
      </c>
      <c r="D7835" s="5" t="s">
        <v>12</v>
      </c>
      <c r="E7835" s="5" t="s">
        <v>3962</v>
      </c>
    </row>
    <row r="7836" spans="1:5" x14ac:dyDescent="0.25">
      <c r="A7836" s="5">
        <f>7828</f>
      </c>
      <c r="B7836" s="5" t="s">
        <v>7078</v>
      </c>
      <c r="C7836" s="5" t="s">
        <v>11</v>
      </c>
      <c r="D7836" s="5" t="s">
        <v>12</v>
      </c>
      <c r="E7836" s="5" t="s">
        <v>3962</v>
      </c>
    </row>
    <row r="7837" spans="1:5" x14ac:dyDescent="0.25">
      <c r="A7837" s="5">
        <f>7829</f>
      </c>
      <c r="B7837" s="5" t="s">
        <v>7079</v>
      </c>
      <c r="C7837" s="5" t="s">
        <v>11</v>
      </c>
      <c r="D7837" s="5" t="s">
        <v>12</v>
      </c>
      <c r="E7837" s="5" t="s">
        <v>3962</v>
      </c>
    </row>
    <row r="7838" spans="1:5" x14ac:dyDescent="0.25">
      <c r="A7838" s="5">
        <f>7830</f>
      </c>
      <c r="B7838" s="5" t="s">
        <v>7080</v>
      </c>
      <c r="C7838" s="5" t="s">
        <v>11</v>
      </c>
      <c r="D7838" s="5" t="s">
        <v>12</v>
      </c>
      <c r="E7838" s="5" t="s">
        <v>3962</v>
      </c>
    </row>
    <row r="7839" spans="1:5" x14ac:dyDescent="0.25">
      <c r="A7839" s="5">
        <f>7831</f>
      </c>
      <c r="B7839" s="5" t="s">
        <v>7081</v>
      </c>
      <c r="C7839" s="5" t="s">
        <v>11</v>
      </c>
      <c r="D7839" s="5" t="s">
        <v>12</v>
      </c>
      <c r="E7839" s="5" t="s">
        <v>3962</v>
      </c>
    </row>
    <row r="7840" spans="1:5" x14ac:dyDescent="0.25">
      <c r="A7840" s="5">
        <f>7832</f>
      </c>
      <c r="B7840" s="5" t="s">
        <v>7082</v>
      </c>
      <c r="C7840" s="5" t="s">
        <v>11</v>
      </c>
      <c r="D7840" s="5" t="s">
        <v>12</v>
      </c>
      <c r="E7840" s="5" t="s">
        <v>3962</v>
      </c>
    </row>
    <row r="7841" spans="1:5" x14ac:dyDescent="0.25">
      <c r="A7841" s="5">
        <f>7833</f>
      </c>
      <c r="B7841" s="5" t="s">
        <v>7083</v>
      </c>
      <c r="C7841" s="5" t="s">
        <v>11</v>
      </c>
      <c r="D7841" s="5" t="s">
        <v>12</v>
      </c>
      <c r="E7841" s="5" t="s">
        <v>3962</v>
      </c>
    </row>
    <row r="7842" spans="1:5" x14ac:dyDescent="0.25">
      <c r="A7842" s="5">
        <f>7834</f>
      </c>
      <c r="B7842" s="5" t="s">
        <v>7084</v>
      </c>
      <c r="C7842" s="5" t="s">
        <v>11</v>
      </c>
      <c r="D7842" s="5" t="s">
        <v>12</v>
      </c>
      <c r="E7842" s="5" t="s">
        <v>3962</v>
      </c>
    </row>
    <row r="7843" spans="1:5" x14ac:dyDescent="0.25">
      <c r="A7843" s="5">
        <f>7835</f>
      </c>
      <c r="B7843" s="5" t="s">
        <v>7085</v>
      </c>
      <c r="C7843" s="5" t="s">
        <v>11</v>
      </c>
      <c r="D7843" s="5" t="s">
        <v>12</v>
      </c>
      <c r="E7843" s="5" t="s">
        <v>3962</v>
      </c>
    </row>
    <row r="7844" spans="1:5" x14ac:dyDescent="0.25">
      <c r="A7844" s="5">
        <f>7836</f>
      </c>
      <c r="B7844" s="5" t="s">
        <v>7086</v>
      </c>
      <c r="C7844" s="5" t="s">
        <v>11</v>
      </c>
      <c r="D7844" s="5" t="s">
        <v>12</v>
      </c>
      <c r="E7844" s="5" t="s">
        <v>3962</v>
      </c>
    </row>
    <row r="7845" spans="1:5" x14ac:dyDescent="0.25">
      <c r="A7845" s="5">
        <f>7837</f>
      </c>
      <c r="B7845" s="5" t="s">
        <v>7087</v>
      </c>
      <c r="C7845" s="5" t="s">
        <v>11</v>
      </c>
      <c r="D7845" s="5" t="s">
        <v>12</v>
      </c>
      <c r="E7845" s="5" t="s">
        <v>3962</v>
      </c>
    </row>
    <row r="7846" spans="1:5" x14ac:dyDescent="0.25">
      <c r="A7846" s="5">
        <f>7838</f>
      </c>
      <c r="B7846" s="5" t="s">
        <v>7088</v>
      </c>
      <c r="C7846" s="5" t="s">
        <v>11</v>
      </c>
      <c r="D7846" s="5" t="s">
        <v>12</v>
      </c>
      <c r="E7846" s="5" t="s">
        <v>3962</v>
      </c>
    </row>
    <row r="7847" spans="1:5" x14ac:dyDescent="0.25">
      <c r="A7847" s="5">
        <f>7839</f>
      </c>
      <c r="B7847" s="5" t="s">
        <v>7089</v>
      </c>
      <c r="C7847" s="5" t="s">
        <v>11</v>
      </c>
      <c r="D7847" s="5" t="s">
        <v>12</v>
      </c>
      <c r="E7847" s="5" t="s">
        <v>3962</v>
      </c>
    </row>
    <row r="7848" spans="1:5" x14ac:dyDescent="0.25">
      <c r="A7848" s="5">
        <f>7840</f>
      </c>
      <c r="B7848" s="5" t="s">
        <v>7090</v>
      </c>
      <c r="C7848" s="5" t="s">
        <v>11</v>
      </c>
      <c r="D7848" s="5" t="s">
        <v>12</v>
      </c>
      <c r="E7848" s="5" t="s">
        <v>3962</v>
      </c>
    </row>
    <row r="7849" spans="1:5" x14ac:dyDescent="0.25">
      <c r="A7849" s="5">
        <f>7841</f>
      </c>
      <c r="B7849" s="5" t="s">
        <v>7091</v>
      </c>
      <c r="C7849" s="5" t="s">
        <v>11</v>
      </c>
      <c r="D7849" s="5" t="s">
        <v>12</v>
      </c>
      <c r="E7849" s="5" t="s">
        <v>3962</v>
      </c>
    </row>
    <row r="7850" spans="1:5" x14ac:dyDescent="0.25">
      <c r="A7850" s="5">
        <f>7842</f>
      </c>
      <c r="B7850" s="5" t="s">
        <v>7092</v>
      </c>
      <c r="C7850" s="5" t="s">
        <v>11</v>
      </c>
      <c r="D7850" s="5" t="s">
        <v>12</v>
      </c>
      <c r="E7850" s="5" t="s">
        <v>3962</v>
      </c>
    </row>
    <row r="7851" spans="1:5" x14ac:dyDescent="0.25">
      <c r="A7851" s="5">
        <f>7843</f>
      </c>
      <c r="B7851" s="5" t="s">
        <v>7093</v>
      </c>
      <c r="C7851" s="5" t="s">
        <v>11</v>
      </c>
      <c r="D7851" s="5" t="s">
        <v>12</v>
      </c>
      <c r="E7851" s="5" t="s">
        <v>3962</v>
      </c>
    </row>
    <row r="7852" spans="1:5" x14ac:dyDescent="0.25">
      <c r="A7852" s="5">
        <f>7844</f>
      </c>
      <c r="B7852" s="5" t="s">
        <v>7094</v>
      </c>
      <c r="C7852" s="5" t="s">
        <v>11</v>
      </c>
      <c r="D7852" s="5" t="s">
        <v>12</v>
      </c>
      <c r="E7852" s="5" t="s">
        <v>3962</v>
      </c>
    </row>
    <row r="7853" spans="1:5" x14ac:dyDescent="0.25">
      <c r="A7853" s="5">
        <f>7845</f>
      </c>
      <c r="B7853" s="5" t="s">
        <v>7095</v>
      </c>
      <c r="C7853" s="5" t="s">
        <v>11</v>
      </c>
      <c r="D7853" s="5" t="s">
        <v>12</v>
      </c>
      <c r="E7853" s="5" t="s">
        <v>3962</v>
      </c>
    </row>
    <row r="7854" spans="1:5" x14ac:dyDescent="0.25">
      <c r="A7854" s="5">
        <f>7846</f>
      </c>
      <c r="B7854" s="5" t="s">
        <v>7096</v>
      </c>
      <c r="C7854" s="5" t="s">
        <v>11</v>
      </c>
      <c r="D7854" s="5" t="s">
        <v>12</v>
      </c>
      <c r="E7854" s="5" t="s">
        <v>3759</v>
      </c>
    </row>
    <row r="7855" spans="1:5" x14ac:dyDescent="0.25">
      <c r="A7855" s="5">
        <f>7847</f>
      </c>
      <c r="B7855" s="5" t="s">
        <v>7097</v>
      </c>
      <c r="C7855" s="5" t="s">
        <v>11</v>
      </c>
      <c r="D7855" s="5" t="s">
        <v>12</v>
      </c>
      <c r="E7855" s="5" t="s">
        <v>3962</v>
      </c>
    </row>
    <row r="7856" spans="1:5" x14ac:dyDescent="0.25">
      <c r="A7856" s="5">
        <f>7848</f>
      </c>
      <c r="B7856" s="5" t="s">
        <v>7098</v>
      </c>
      <c r="C7856" s="5" t="s">
        <v>11</v>
      </c>
      <c r="D7856" s="5" t="s">
        <v>12</v>
      </c>
      <c r="E7856" s="5" t="s">
        <v>3962</v>
      </c>
    </row>
    <row r="7857" spans="1:5" x14ac:dyDescent="0.25">
      <c r="A7857" s="5">
        <f>7849</f>
      </c>
      <c r="B7857" s="5" t="s">
        <v>7099</v>
      </c>
      <c r="C7857" s="5" t="s">
        <v>11</v>
      </c>
      <c r="D7857" s="5" t="s">
        <v>12</v>
      </c>
      <c r="E7857" s="5" t="s">
        <v>3962</v>
      </c>
    </row>
    <row r="7858" spans="1:5" x14ac:dyDescent="0.25">
      <c r="A7858" s="5">
        <f>7850</f>
      </c>
      <c r="B7858" s="5" t="s">
        <v>7100</v>
      </c>
      <c r="C7858" s="5" t="s">
        <v>11</v>
      </c>
      <c r="D7858" s="5" t="s">
        <v>12</v>
      </c>
      <c r="E7858" s="5" t="s">
        <v>3962</v>
      </c>
    </row>
    <row r="7859" spans="1:5" x14ac:dyDescent="0.25">
      <c r="A7859" s="5">
        <f>7851</f>
      </c>
      <c r="B7859" s="5" t="s">
        <v>7101</v>
      </c>
      <c r="C7859" s="5" t="s">
        <v>11</v>
      </c>
      <c r="D7859" s="5" t="s">
        <v>12</v>
      </c>
      <c r="E7859" s="5" t="s">
        <v>3962</v>
      </c>
    </row>
    <row r="7860" spans="1:5" x14ac:dyDescent="0.25">
      <c r="A7860" s="5">
        <f>7852</f>
      </c>
      <c r="B7860" s="5" t="s">
        <v>7102</v>
      </c>
      <c r="C7860" s="5" t="s">
        <v>11</v>
      </c>
      <c r="D7860" s="5" t="s">
        <v>12</v>
      </c>
      <c r="E7860" s="5" t="s">
        <v>3962</v>
      </c>
    </row>
    <row r="7861" spans="1:5" x14ac:dyDescent="0.25">
      <c r="A7861" s="5">
        <f>7853</f>
      </c>
      <c r="B7861" s="5" t="s">
        <v>7103</v>
      </c>
      <c r="C7861" s="5" t="s">
        <v>11</v>
      </c>
      <c r="D7861" s="5" t="s">
        <v>12</v>
      </c>
      <c r="E7861" s="5" t="s">
        <v>3962</v>
      </c>
    </row>
    <row r="7862" spans="1:5" x14ac:dyDescent="0.25">
      <c r="A7862" s="5">
        <f>7854</f>
      </c>
      <c r="B7862" s="5" t="s">
        <v>7104</v>
      </c>
      <c r="C7862" s="5" t="s">
        <v>11</v>
      </c>
      <c r="D7862" s="5" t="s">
        <v>12</v>
      </c>
      <c r="E7862" s="5" t="s">
        <v>3962</v>
      </c>
    </row>
    <row r="7863" spans="1:5" x14ac:dyDescent="0.25">
      <c r="A7863" s="5">
        <f>7855</f>
      </c>
      <c r="B7863" s="5" t="s">
        <v>7105</v>
      </c>
      <c r="C7863" s="5" t="s">
        <v>11</v>
      </c>
      <c r="D7863" s="5" t="s">
        <v>12</v>
      </c>
      <c r="E7863" s="5" t="s">
        <v>3962</v>
      </c>
    </row>
    <row r="7864" spans="1:5" x14ac:dyDescent="0.25">
      <c r="A7864" s="5">
        <f>7856</f>
      </c>
      <c r="B7864" s="5" t="s">
        <v>7106</v>
      </c>
      <c r="C7864" s="5" t="s">
        <v>11</v>
      </c>
      <c r="D7864" s="5" t="s">
        <v>12</v>
      </c>
      <c r="E7864" s="5" t="s">
        <v>3962</v>
      </c>
    </row>
    <row r="7865" spans="1:5" x14ac:dyDescent="0.25">
      <c r="A7865" s="5">
        <f>7857</f>
      </c>
      <c r="B7865" s="5" t="s">
        <v>7107</v>
      </c>
      <c r="C7865" s="5" t="s">
        <v>11</v>
      </c>
      <c r="D7865" s="5" t="s">
        <v>12</v>
      </c>
      <c r="E7865" s="5" t="s">
        <v>3962</v>
      </c>
    </row>
    <row r="7866" spans="1:5" x14ac:dyDescent="0.25">
      <c r="A7866" s="5">
        <f>7858</f>
      </c>
      <c r="B7866" s="5" t="s">
        <v>7108</v>
      </c>
      <c r="C7866" s="5" t="s">
        <v>11</v>
      </c>
      <c r="D7866" s="5" t="s">
        <v>12</v>
      </c>
      <c r="E7866" s="5" t="s">
        <v>3962</v>
      </c>
    </row>
    <row r="7867" spans="1:5" x14ac:dyDescent="0.25">
      <c r="A7867" s="5">
        <f>7859</f>
      </c>
      <c r="B7867" s="5" t="s">
        <v>7109</v>
      </c>
      <c r="C7867" s="5" t="s">
        <v>11</v>
      </c>
      <c r="D7867" s="5" t="s">
        <v>12</v>
      </c>
      <c r="E7867" s="5" t="s">
        <v>3962</v>
      </c>
    </row>
    <row r="7868" spans="1:5" x14ac:dyDescent="0.25">
      <c r="A7868" s="5">
        <f>7860</f>
      </c>
      <c r="B7868" s="5" t="s">
        <v>7110</v>
      </c>
      <c r="C7868" s="5" t="s">
        <v>11</v>
      </c>
      <c r="D7868" s="5" t="s">
        <v>12</v>
      </c>
      <c r="E7868" s="5" t="s">
        <v>3962</v>
      </c>
    </row>
    <row r="7869" spans="1:5" x14ac:dyDescent="0.25">
      <c r="A7869" s="5">
        <f>7861</f>
      </c>
      <c r="B7869" s="5" t="s">
        <v>7111</v>
      </c>
      <c r="C7869" s="5" t="s">
        <v>11</v>
      </c>
      <c r="D7869" s="5" t="s">
        <v>12</v>
      </c>
      <c r="E7869" s="5" t="s">
        <v>3962</v>
      </c>
    </row>
    <row r="7870" spans="1:5" x14ac:dyDescent="0.25">
      <c r="A7870" s="5">
        <f>7862</f>
      </c>
      <c r="B7870" s="5" t="s">
        <v>7112</v>
      </c>
      <c r="C7870" s="5" t="s">
        <v>11</v>
      </c>
      <c r="D7870" s="5" t="s">
        <v>12</v>
      </c>
      <c r="E7870" s="5" t="s">
        <v>3962</v>
      </c>
    </row>
    <row r="7871" spans="1:5" x14ac:dyDescent="0.25">
      <c r="A7871" s="5">
        <f>7863</f>
      </c>
      <c r="B7871" s="5" t="s">
        <v>7113</v>
      </c>
      <c r="C7871" s="5" t="s">
        <v>11</v>
      </c>
      <c r="D7871" s="5" t="s">
        <v>12</v>
      </c>
      <c r="E7871" s="5" t="s">
        <v>3962</v>
      </c>
    </row>
    <row r="7872" spans="1:5" x14ac:dyDescent="0.25">
      <c r="A7872" s="5">
        <f>7864</f>
      </c>
      <c r="B7872" s="5" t="s">
        <v>7114</v>
      </c>
      <c r="C7872" s="5" t="s">
        <v>11</v>
      </c>
      <c r="D7872" s="5" t="s">
        <v>12</v>
      </c>
      <c r="E7872" s="5" t="s">
        <v>3962</v>
      </c>
    </row>
    <row r="7873" spans="1:5" x14ac:dyDescent="0.25">
      <c r="A7873" s="5">
        <f>7865</f>
      </c>
      <c r="B7873" s="5" t="s">
        <v>7115</v>
      </c>
      <c r="C7873" s="5" t="s">
        <v>11</v>
      </c>
      <c r="D7873" s="5" t="s">
        <v>12</v>
      </c>
      <c r="E7873" s="5" t="s">
        <v>3962</v>
      </c>
    </row>
    <row r="7874" spans="1:5" x14ac:dyDescent="0.25">
      <c r="A7874" s="5">
        <f>7866</f>
      </c>
      <c r="B7874" s="5" t="s">
        <v>7116</v>
      </c>
      <c r="C7874" s="5" t="s">
        <v>11</v>
      </c>
      <c r="D7874" s="5" t="s">
        <v>12</v>
      </c>
      <c r="E7874" s="5" t="s">
        <v>3962</v>
      </c>
    </row>
    <row r="7875" spans="1:5" x14ac:dyDescent="0.25">
      <c r="A7875" s="5">
        <f>7867</f>
      </c>
      <c r="B7875" s="5" t="s">
        <v>7117</v>
      </c>
      <c r="C7875" s="5" t="s">
        <v>11</v>
      </c>
      <c r="D7875" s="5" t="s">
        <v>12</v>
      </c>
      <c r="E7875" s="5" t="s">
        <v>3962</v>
      </c>
    </row>
    <row r="7876" spans="1:5" x14ac:dyDescent="0.25">
      <c r="A7876" s="5">
        <f>7868</f>
      </c>
      <c r="B7876" s="5" t="s">
        <v>7118</v>
      </c>
      <c r="C7876" s="5" t="s">
        <v>11</v>
      </c>
      <c r="D7876" s="5" t="s">
        <v>12</v>
      </c>
      <c r="E7876" s="5" t="s">
        <v>3962</v>
      </c>
    </row>
    <row r="7877" spans="1:5" x14ac:dyDescent="0.25">
      <c r="A7877" s="5">
        <f>7869</f>
      </c>
      <c r="B7877" s="5" t="s">
        <v>7119</v>
      </c>
      <c r="C7877" s="5" t="s">
        <v>11</v>
      </c>
      <c r="D7877" s="5" t="s">
        <v>12</v>
      </c>
      <c r="E7877" s="5" t="s">
        <v>3962</v>
      </c>
    </row>
    <row r="7878" spans="1:5" x14ac:dyDescent="0.25">
      <c r="A7878" s="5">
        <f>7870</f>
      </c>
      <c r="B7878" s="5" t="s">
        <v>7120</v>
      </c>
      <c r="C7878" s="5" t="s">
        <v>11</v>
      </c>
      <c r="D7878" s="5" t="s">
        <v>12</v>
      </c>
      <c r="E7878" s="5" t="s">
        <v>3962</v>
      </c>
    </row>
    <row r="7879" spans="1:5" x14ac:dyDescent="0.25">
      <c r="A7879" s="5">
        <f>7871</f>
      </c>
      <c r="B7879" s="5" t="s">
        <v>7121</v>
      </c>
      <c r="C7879" s="5" t="s">
        <v>11</v>
      </c>
      <c r="D7879" s="5" t="s">
        <v>12</v>
      </c>
      <c r="E7879" s="5" t="s">
        <v>3962</v>
      </c>
    </row>
    <row r="7880" spans="1:5" x14ac:dyDescent="0.25">
      <c r="A7880" s="5">
        <f>7872</f>
      </c>
      <c r="B7880" s="5" t="s">
        <v>7122</v>
      </c>
      <c r="C7880" s="5" t="s">
        <v>11</v>
      </c>
      <c r="D7880" s="5" t="s">
        <v>12</v>
      </c>
      <c r="E7880" s="5" t="s">
        <v>3962</v>
      </c>
    </row>
    <row r="7881" spans="1:5" x14ac:dyDescent="0.25">
      <c r="A7881" s="5">
        <f>7873</f>
      </c>
      <c r="B7881" s="5" t="s">
        <v>7123</v>
      </c>
      <c r="C7881" s="5" t="s">
        <v>11</v>
      </c>
      <c r="D7881" s="5" t="s">
        <v>12</v>
      </c>
      <c r="E7881" s="5" t="s">
        <v>3962</v>
      </c>
    </row>
    <row r="7882" spans="1:5" x14ac:dyDescent="0.25">
      <c r="A7882" s="5">
        <f>7874</f>
      </c>
      <c r="B7882" s="5" t="s">
        <v>7124</v>
      </c>
      <c r="C7882" s="5" t="s">
        <v>11</v>
      </c>
      <c r="D7882" s="5" t="s">
        <v>12</v>
      </c>
      <c r="E7882" s="5" t="s">
        <v>3962</v>
      </c>
    </row>
    <row r="7883" spans="1:5" x14ac:dyDescent="0.25">
      <c r="A7883" s="5">
        <f>7875</f>
      </c>
      <c r="B7883" s="5" t="s">
        <v>7125</v>
      </c>
      <c r="C7883" s="5" t="s">
        <v>11</v>
      </c>
      <c r="D7883" s="5" t="s">
        <v>12</v>
      </c>
      <c r="E7883" s="5" t="s">
        <v>3962</v>
      </c>
    </row>
    <row r="7884" spans="1:5" x14ac:dyDescent="0.25">
      <c r="A7884" s="5">
        <f>7876</f>
      </c>
      <c r="B7884" s="5" t="s">
        <v>7126</v>
      </c>
      <c r="C7884" s="5" t="s">
        <v>11</v>
      </c>
      <c r="D7884" s="5" t="s">
        <v>12</v>
      </c>
      <c r="E7884" s="5" t="s">
        <v>3962</v>
      </c>
    </row>
    <row r="7885" spans="1:5" x14ac:dyDescent="0.25">
      <c r="A7885" s="5">
        <f>7877</f>
      </c>
      <c r="B7885" s="5" t="s">
        <v>7127</v>
      </c>
      <c r="C7885" s="5" t="s">
        <v>11</v>
      </c>
      <c r="D7885" s="5" t="s">
        <v>12</v>
      </c>
      <c r="E7885" s="5" t="s">
        <v>3962</v>
      </c>
    </row>
    <row r="7886" spans="1:5" x14ac:dyDescent="0.25">
      <c r="A7886" s="5">
        <f>7878</f>
      </c>
      <c r="B7886" s="5" t="s">
        <v>7128</v>
      </c>
      <c r="C7886" s="5" t="s">
        <v>11</v>
      </c>
      <c r="D7886" s="5" t="s">
        <v>12</v>
      </c>
      <c r="E7886" s="5" t="s">
        <v>3962</v>
      </c>
    </row>
    <row r="7887" spans="1:5" x14ac:dyDescent="0.25">
      <c r="A7887" s="5">
        <f>7879</f>
      </c>
      <c r="B7887" s="5" t="s">
        <v>7129</v>
      </c>
      <c r="C7887" s="5" t="s">
        <v>11</v>
      </c>
      <c r="D7887" s="5" t="s">
        <v>12</v>
      </c>
      <c r="E7887" s="5" t="s">
        <v>3962</v>
      </c>
    </row>
    <row r="7888" spans="1:5" x14ac:dyDescent="0.25">
      <c r="A7888" s="5">
        <f>7880</f>
      </c>
      <c r="B7888" s="5" t="s">
        <v>7130</v>
      </c>
      <c r="C7888" s="5" t="s">
        <v>11</v>
      </c>
      <c r="D7888" s="5" t="s">
        <v>12</v>
      </c>
      <c r="E7888" s="5" t="s">
        <v>3962</v>
      </c>
    </row>
    <row r="7889" spans="1:5" x14ac:dyDescent="0.25">
      <c r="A7889" s="5">
        <f>7881</f>
      </c>
      <c r="B7889" s="5" t="s">
        <v>7131</v>
      </c>
      <c r="C7889" s="5" t="s">
        <v>11</v>
      </c>
      <c r="D7889" s="5" t="s">
        <v>12</v>
      </c>
      <c r="E7889" s="5" t="s">
        <v>3962</v>
      </c>
    </row>
    <row r="7890" spans="1:5" x14ac:dyDescent="0.25">
      <c r="A7890" s="5">
        <f>7882</f>
      </c>
      <c r="B7890" s="5" t="s">
        <v>7132</v>
      </c>
      <c r="C7890" s="5" t="s">
        <v>11</v>
      </c>
      <c r="D7890" s="5" t="s">
        <v>12</v>
      </c>
      <c r="E7890" s="5" t="s">
        <v>3962</v>
      </c>
    </row>
    <row r="7891" spans="1:5" x14ac:dyDescent="0.25">
      <c r="A7891" s="5">
        <f>7883</f>
      </c>
      <c r="B7891" s="5" t="s">
        <v>7133</v>
      </c>
      <c r="C7891" s="5" t="s">
        <v>11</v>
      </c>
      <c r="D7891" s="5" t="s">
        <v>12</v>
      </c>
      <c r="E7891" s="5" t="s">
        <v>3962</v>
      </c>
    </row>
    <row r="7892" spans="1:5" x14ac:dyDescent="0.25">
      <c r="A7892" s="5">
        <f>7884</f>
      </c>
      <c r="B7892" s="5" t="s">
        <v>7134</v>
      </c>
      <c r="C7892" s="5" t="s">
        <v>11</v>
      </c>
      <c r="D7892" s="5" t="s">
        <v>12</v>
      </c>
      <c r="E7892" s="5" t="s">
        <v>3962</v>
      </c>
    </row>
    <row r="7893" spans="1:5" x14ac:dyDescent="0.25">
      <c r="A7893" s="5">
        <f>7885</f>
      </c>
      <c r="B7893" s="5" t="s">
        <v>7135</v>
      </c>
      <c r="C7893" s="5" t="s">
        <v>11</v>
      </c>
      <c r="D7893" s="5" t="s">
        <v>12</v>
      </c>
      <c r="E7893" s="5" t="s">
        <v>3962</v>
      </c>
    </row>
    <row r="7894" spans="1:5" x14ac:dyDescent="0.25">
      <c r="A7894" s="5">
        <f>7886</f>
      </c>
      <c r="B7894" s="5" t="s">
        <v>7136</v>
      </c>
      <c r="C7894" s="5" t="s">
        <v>11</v>
      </c>
      <c r="D7894" s="5" t="s">
        <v>12</v>
      </c>
      <c r="E7894" s="5" t="s">
        <v>3962</v>
      </c>
    </row>
    <row r="7895" spans="1:5" x14ac:dyDescent="0.25">
      <c r="A7895" s="5">
        <f>7887</f>
      </c>
      <c r="B7895" s="5" t="s">
        <v>7137</v>
      </c>
      <c r="C7895" s="5" t="s">
        <v>11</v>
      </c>
      <c r="D7895" s="5" t="s">
        <v>12</v>
      </c>
      <c r="E7895" s="5" t="s">
        <v>3962</v>
      </c>
    </row>
    <row r="7896" spans="1:5" x14ac:dyDescent="0.25">
      <c r="A7896" s="5">
        <f>7888</f>
      </c>
      <c r="B7896" s="5" t="s">
        <v>7138</v>
      </c>
      <c r="C7896" s="5" t="s">
        <v>11</v>
      </c>
      <c r="D7896" s="5" t="s">
        <v>12</v>
      </c>
      <c r="E7896" s="5" t="s">
        <v>3962</v>
      </c>
    </row>
    <row r="7897" spans="1:5" x14ac:dyDescent="0.25">
      <c r="A7897" s="5">
        <f>7889</f>
      </c>
      <c r="B7897" s="5" t="s">
        <v>7139</v>
      </c>
      <c r="C7897" s="5" t="s">
        <v>11</v>
      </c>
      <c r="D7897" s="5" t="s">
        <v>12</v>
      </c>
      <c r="E7897" s="5" t="s">
        <v>3962</v>
      </c>
    </row>
    <row r="7898" spans="1:5" x14ac:dyDescent="0.25">
      <c r="A7898" s="5">
        <f>7890</f>
      </c>
      <c r="B7898" s="5" t="s">
        <v>7140</v>
      </c>
      <c r="C7898" s="5" t="s">
        <v>11</v>
      </c>
      <c r="D7898" s="5" t="s">
        <v>12</v>
      </c>
      <c r="E7898" s="5" t="s">
        <v>3962</v>
      </c>
    </row>
    <row r="7899" spans="1:5" x14ac:dyDescent="0.25">
      <c r="A7899" s="5">
        <f>7891</f>
      </c>
      <c r="B7899" s="5" t="s">
        <v>7141</v>
      </c>
      <c r="C7899" s="5" t="s">
        <v>11</v>
      </c>
      <c r="D7899" s="5" t="s">
        <v>12</v>
      </c>
      <c r="E7899" s="5" t="s">
        <v>3962</v>
      </c>
    </row>
    <row r="7900" spans="1:5" x14ac:dyDescent="0.25">
      <c r="A7900" s="5">
        <f>7892</f>
      </c>
      <c r="B7900" s="5" t="s">
        <v>7142</v>
      </c>
      <c r="C7900" s="5" t="s">
        <v>11</v>
      </c>
      <c r="D7900" s="5" t="s">
        <v>12</v>
      </c>
      <c r="E7900" s="5" t="s">
        <v>3962</v>
      </c>
    </row>
    <row r="7901" spans="1:5" x14ac:dyDescent="0.25">
      <c r="A7901" s="5">
        <f>7893</f>
      </c>
      <c r="B7901" s="5" t="s">
        <v>7143</v>
      </c>
      <c r="C7901" s="5" t="s">
        <v>11</v>
      </c>
      <c r="D7901" s="5" t="s">
        <v>12</v>
      </c>
      <c r="E7901" s="5" t="s">
        <v>3962</v>
      </c>
    </row>
    <row r="7902" spans="1:5" x14ac:dyDescent="0.25">
      <c r="A7902" s="5">
        <f>7894</f>
      </c>
      <c r="B7902" s="5" t="s">
        <v>7144</v>
      </c>
      <c r="C7902" s="5" t="s">
        <v>11</v>
      </c>
      <c r="D7902" s="5" t="s">
        <v>12</v>
      </c>
      <c r="E7902" s="5" t="s">
        <v>3962</v>
      </c>
    </row>
    <row r="7903" spans="1:5" x14ac:dyDescent="0.25">
      <c r="A7903" s="5">
        <f>7895</f>
      </c>
      <c r="B7903" s="5" t="s">
        <v>7145</v>
      </c>
      <c r="C7903" s="5" t="s">
        <v>11</v>
      </c>
      <c r="D7903" s="5" t="s">
        <v>12</v>
      </c>
      <c r="E7903" s="5" t="s">
        <v>3962</v>
      </c>
    </row>
    <row r="7904" spans="1:5" x14ac:dyDescent="0.25">
      <c r="A7904" s="5">
        <f>7896</f>
      </c>
      <c r="B7904" s="5" t="s">
        <v>7146</v>
      </c>
      <c r="C7904" s="5" t="s">
        <v>11</v>
      </c>
      <c r="D7904" s="5" t="s">
        <v>12</v>
      </c>
      <c r="E7904" s="5" t="s">
        <v>3962</v>
      </c>
    </row>
    <row r="7905" spans="1:5" x14ac:dyDescent="0.25">
      <c r="A7905" s="5">
        <f>7897</f>
      </c>
      <c r="B7905" s="5" t="s">
        <v>7147</v>
      </c>
      <c r="C7905" s="5" t="s">
        <v>11</v>
      </c>
      <c r="D7905" s="5" t="s">
        <v>12</v>
      </c>
      <c r="E7905" s="5" t="s">
        <v>3962</v>
      </c>
    </row>
    <row r="7906" spans="1:5" x14ac:dyDescent="0.25">
      <c r="A7906" s="5">
        <f>7898</f>
      </c>
      <c r="B7906" s="5" t="s">
        <v>7148</v>
      </c>
      <c r="C7906" s="5" t="s">
        <v>11</v>
      </c>
      <c r="D7906" s="5" t="s">
        <v>12</v>
      </c>
      <c r="E7906" s="5" t="s">
        <v>3962</v>
      </c>
    </row>
    <row r="7907" spans="1:5" x14ac:dyDescent="0.25">
      <c r="A7907" s="5">
        <f>7899</f>
      </c>
      <c r="B7907" s="5" t="s">
        <v>7149</v>
      </c>
      <c r="C7907" s="5" t="s">
        <v>11</v>
      </c>
      <c r="D7907" s="5" t="s">
        <v>12</v>
      </c>
      <c r="E7907" s="5" t="s">
        <v>3962</v>
      </c>
    </row>
    <row r="7908" spans="1:5" x14ac:dyDescent="0.25">
      <c r="A7908" s="5">
        <f>7900</f>
      </c>
      <c r="B7908" s="5" t="s">
        <v>7150</v>
      </c>
      <c r="C7908" s="5" t="s">
        <v>11</v>
      </c>
      <c r="D7908" s="5" t="s">
        <v>12</v>
      </c>
      <c r="E7908" s="5" t="s">
        <v>3962</v>
      </c>
    </row>
    <row r="7909" spans="1:5" x14ac:dyDescent="0.25">
      <c r="A7909" s="5">
        <f>7901</f>
      </c>
      <c r="B7909" s="5" t="s">
        <v>7151</v>
      </c>
      <c r="C7909" s="5" t="s">
        <v>11</v>
      </c>
      <c r="D7909" s="5" t="s">
        <v>12</v>
      </c>
      <c r="E7909" s="5" t="s">
        <v>3962</v>
      </c>
    </row>
    <row r="7910" spans="1:5" x14ac:dyDescent="0.25">
      <c r="A7910" s="5">
        <f>7902</f>
      </c>
      <c r="B7910" s="5" t="s">
        <v>7152</v>
      </c>
      <c r="C7910" s="5" t="s">
        <v>11</v>
      </c>
      <c r="D7910" s="5" t="s">
        <v>12</v>
      </c>
      <c r="E7910" s="5" t="s">
        <v>3962</v>
      </c>
    </row>
    <row r="7911" spans="1:5" x14ac:dyDescent="0.25">
      <c r="A7911" s="5">
        <f>7903</f>
      </c>
      <c r="B7911" s="5" t="s">
        <v>7153</v>
      </c>
      <c r="C7911" s="5" t="s">
        <v>11</v>
      </c>
      <c r="D7911" s="5" t="s">
        <v>12</v>
      </c>
      <c r="E7911" s="5" t="s">
        <v>3962</v>
      </c>
    </row>
    <row r="7912" spans="1:5" x14ac:dyDescent="0.25">
      <c r="A7912" s="5">
        <f>7904</f>
      </c>
      <c r="B7912" s="5" t="s">
        <v>7154</v>
      </c>
      <c r="C7912" s="5" t="s">
        <v>11</v>
      </c>
      <c r="D7912" s="5" t="s">
        <v>12</v>
      </c>
      <c r="E7912" s="5" t="s">
        <v>3962</v>
      </c>
    </row>
    <row r="7913" spans="1:5" x14ac:dyDescent="0.25">
      <c r="A7913" s="5">
        <f>7905</f>
      </c>
      <c r="B7913" s="5" t="s">
        <v>7155</v>
      </c>
      <c r="C7913" s="5" t="s">
        <v>11</v>
      </c>
      <c r="D7913" s="5" t="s">
        <v>12</v>
      </c>
      <c r="E7913" s="5" t="s">
        <v>3962</v>
      </c>
    </row>
    <row r="7914" spans="1:5" x14ac:dyDescent="0.25">
      <c r="A7914" s="5">
        <f>7906</f>
      </c>
      <c r="B7914" s="5" t="s">
        <v>7156</v>
      </c>
      <c r="C7914" s="5" t="s">
        <v>11</v>
      </c>
      <c r="D7914" s="5" t="s">
        <v>12</v>
      </c>
      <c r="E7914" s="5" t="s">
        <v>3962</v>
      </c>
    </row>
    <row r="7915" spans="1:5" x14ac:dyDescent="0.25">
      <c r="A7915" s="5">
        <f>7907</f>
      </c>
      <c r="B7915" s="5" t="s">
        <v>7157</v>
      </c>
      <c r="C7915" s="5" t="s">
        <v>11</v>
      </c>
      <c r="D7915" s="5" t="s">
        <v>12</v>
      </c>
      <c r="E7915" s="5" t="s">
        <v>3962</v>
      </c>
    </row>
    <row r="7916" spans="1:5" x14ac:dyDescent="0.25">
      <c r="A7916" s="5">
        <f>7908</f>
      </c>
      <c r="B7916" s="5" t="s">
        <v>7158</v>
      </c>
      <c r="C7916" s="5" t="s">
        <v>11</v>
      </c>
      <c r="D7916" s="5" t="s">
        <v>12</v>
      </c>
      <c r="E7916" s="5" t="s">
        <v>3962</v>
      </c>
    </row>
    <row r="7917" spans="1:5" x14ac:dyDescent="0.25">
      <c r="A7917" s="5">
        <f>7909</f>
      </c>
      <c r="B7917" s="5" t="s">
        <v>7159</v>
      </c>
      <c r="C7917" s="5" t="s">
        <v>11</v>
      </c>
      <c r="D7917" s="5" t="s">
        <v>12</v>
      </c>
      <c r="E7917" s="5" t="s">
        <v>3962</v>
      </c>
    </row>
    <row r="7918" spans="1:5" x14ac:dyDescent="0.25">
      <c r="A7918" s="5">
        <f>7910</f>
      </c>
      <c r="B7918" s="5" t="s">
        <v>7160</v>
      </c>
      <c r="C7918" s="5" t="s">
        <v>11</v>
      </c>
      <c r="D7918" s="5" t="s">
        <v>12</v>
      </c>
      <c r="E7918" s="5" t="s">
        <v>3962</v>
      </c>
    </row>
    <row r="7919" spans="1:5" x14ac:dyDescent="0.25">
      <c r="A7919" s="5">
        <f>7911</f>
      </c>
      <c r="B7919" s="5" t="s">
        <v>7161</v>
      </c>
      <c r="C7919" s="5" t="s">
        <v>11</v>
      </c>
      <c r="D7919" s="5" t="s">
        <v>12</v>
      </c>
      <c r="E7919" s="5" t="s">
        <v>3962</v>
      </c>
    </row>
    <row r="7920" spans="1:5" x14ac:dyDescent="0.25">
      <c r="A7920" s="5">
        <f>7912</f>
      </c>
      <c r="B7920" s="5" t="s">
        <v>7162</v>
      </c>
      <c r="C7920" s="5" t="s">
        <v>11</v>
      </c>
      <c r="D7920" s="5" t="s">
        <v>12</v>
      </c>
      <c r="E7920" s="5" t="s">
        <v>3962</v>
      </c>
    </row>
    <row r="7921" spans="1:5" x14ac:dyDescent="0.25">
      <c r="A7921" s="5">
        <f>7913</f>
      </c>
      <c r="B7921" s="5" t="s">
        <v>7163</v>
      </c>
      <c r="C7921" s="5" t="s">
        <v>11</v>
      </c>
      <c r="D7921" s="5" t="s">
        <v>12</v>
      </c>
      <c r="E7921" s="5" t="s">
        <v>3962</v>
      </c>
    </row>
    <row r="7922" spans="1:5" x14ac:dyDescent="0.25">
      <c r="A7922" s="5">
        <f>7914</f>
      </c>
      <c r="B7922" s="5" t="s">
        <v>7164</v>
      </c>
      <c r="C7922" s="5" t="s">
        <v>11</v>
      </c>
      <c r="D7922" s="5" t="s">
        <v>12</v>
      </c>
      <c r="E7922" s="5" t="s">
        <v>3962</v>
      </c>
    </row>
    <row r="7923" spans="1:5" x14ac:dyDescent="0.25">
      <c r="A7923" s="5">
        <f>7915</f>
      </c>
      <c r="B7923" s="5" t="s">
        <v>7165</v>
      </c>
      <c r="C7923" s="5" t="s">
        <v>11</v>
      </c>
      <c r="D7923" s="5" t="s">
        <v>12</v>
      </c>
      <c r="E7923" s="5" t="s">
        <v>3962</v>
      </c>
    </row>
    <row r="7924" spans="1:5" x14ac:dyDescent="0.25">
      <c r="A7924" s="5">
        <f>7916</f>
      </c>
      <c r="B7924" s="5" t="s">
        <v>7166</v>
      </c>
      <c r="C7924" s="5" t="s">
        <v>11</v>
      </c>
      <c r="D7924" s="5" t="s">
        <v>12</v>
      </c>
      <c r="E7924" s="5" t="s">
        <v>3962</v>
      </c>
    </row>
    <row r="7925" spans="1:5" x14ac:dyDescent="0.25">
      <c r="A7925" s="5">
        <f>7917</f>
      </c>
      <c r="B7925" s="5" t="s">
        <v>7167</v>
      </c>
      <c r="C7925" s="5" t="s">
        <v>11</v>
      </c>
      <c r="D7925" s="5" t="s">
        <v>12</v>
      </c>
      <c r="E7925" s="5" t="s">
        <v>3962</v>
      </c>
    </row>
    <row r="7926" spans="1:5" x14ac:dyDescent="0.25">
      <c r="A7926" s="5">
        <f>7918</f>
      </c>
      <c r="B7926" s="5" t="s">
        <v>7168</v>
      </c>
      <c r="C7926" s="5" t="s">
        <v>11</v>
      </c>
      <c r="D7926" s="5" t="s">
        <v>12</v>
      </c>
      <c r="E7926" s="5" t="s">
        <v>3962</v>
      </c>
    </row>
    <row r="7927" spans="1:5" x14ac:dyDescent="0.25">
      <c r="A7927" s="5">
        <f>7919</f>
      </c>
      <c r="B7927" s="5" t="s">
        <v>7169</v>
      </c>
      <c r="C7927" s="5" t="s">
        <v>11</v>
      </c>
      <c r="D7927" s="5" t="s">
        <v>12</v>
      </c>
      <c r="E7927" s="5" t="s">
        <v>3962</v>
      </c>
    </row>
    <row r="7928" spans="1:5" x14ac:dyDescent="0.25">
      <c r="A7928" s="5">
        <f>7920</f>
      </c>
      <c r="B7928" s="5" t="s">
        <v>7170</v>
      </c>
      <c r="C7928" s="5" t="s">
        <v>11</v>
      </c>
      <c r="D7928" s="5" t="s">
        <v>12</v>
      </c>
      <c r="E7928" s="5" t="s">
        <v>3962</v>
      </c>
    </row>
    <row r="7929" spans="1:5" x14ac:dyDescent="0.25">
      <c r="A7929" s="5">
        <f>7921</f>
      </c>
      <c r="B7929" s="5" t="s">
        <v>7171</v>
      </c>
      <c r="C7929" s="5" t="s">
        <v>11</v>
      </c>
      <c r="D7929" s="5" t="s">
        <v>12</v>
      </c>
      <c r="E7929" s="5" t="s">
        <v>3962</v>
      </c>
    </row>
    <row r="7930" spans="1:5" x14ac:dyDescent="0.25">
      <c r="A7930" s="5">
        <f>7922</f>
      </c>
      <c r="B7930" s="5" t="s">
        <v>7172</v>
      </c>
      <c r="C7930" s="5" t="s">
        <v>11</v>
      </c>
      <c r="D7930" s="5" t="s">
        <v>12</v>
      </c>
      <c r="E7930" s="5" t="s">
        <v>3962</v>
      </c>
    </row>
    <row r="7931" spans="1:5" x14ac:dyDescent="0.25">
      <c r="A7931" s="5">
        <f>7923</f>
      </c>
      <c r="B7931" s="5" t="s">
        <v>7173</v>
      </c>
      <c r="C7931" s="5" t="s">
        <v>11</v>
      </c>
      <c r="D7931" s="5" t="s">
        <v>12</v>
      </c>
      <c r="E7931" s="5" t="s">
        <v>3962</v>
      </c>
    </row>
    <row r="7932" spans="1:5" x14ac:dyDescent="0.25">
      <c r="A7932" s="5">
        <f>7924</f>
      </c>
      <c r="B7932" s="5" t="s">
        <v>7174</v>
      </c>
      <c r="C7932" s="5" t="s">
        <v>11</v>
      </c>
      <c r="D7932" s="5" t="s">
        <v>12</v>
      </c>
      <c r="E7932" s="5" t="s">
        <v>3962</v>
      </c>
    </row>
    <row r="7933" spans="1:5" x14ac:dyDescent="0.25">
      <c r="A7933" s="5">
        <f>7925</f>
      </c>
      <c r="B7933" s="5" t="s">
        <v>7175</v>
      </c>
      <c r="C7933" s="5" t="s">
        <v>11</v>
      </c>
      <c r="D7933" s="5" t="s">
        <v>12</v>
      </c>
      <c r="E7933" s="5" t="s">
        <v>3962</v>
      </c>
    </row>
    <row r="7934" spans="1:5" x14ac:dyDescent="0.25">
      <c r="A7934" s="5">
        <f>7926</f>
      </c>
      <c r="B7934" s="5" t="s">
        <v>7176</v>
      </c>
      <c r="C7934" s="5" t="s">
        <v>11</v>
      </c>
      <c r="D7934" s="5" t="s">
        <v>12</v>
      </c>
      <c r="E7934" s="5" t="s">
        <v>3962</v>
      </c>
    </row>
    <row r="7935" spans="1:5" x14ac:dyDescent="0.25">
      <c r="A7935" s="5">
        <f>7927</f>
      </c>
      <c r="B7935" s="5" t="s">
        <v>7177</v>
      </c>
      <c r="C7935" s="5" t="s">
        <v>11</v>
      </c>
      <c r="D7935" s="5" t="s">
        <v>12</v>
      </c>
      <c r="E7935" s="5" t="s">
        <v>3962</v>
      </c>
    </row>
    <row r="7936" spans="1:5" x14ac:dyDescent="0.25">
      <c r="A7936" s="5">
        <f>7928</f>
      </c>
      <c r="B7936" s="5" t="s">
        <v>7178</v>
      </c>
      <c r="C7936" s="5" t="s">
        <v>11</v>
      </c>
      <c r="D7936" s="5" t="s">
        <v>12</v>
      </c>
      <c r="E7936" s="5" t="s">
        <v>3962</v>
      </c>
    </row>
    <row r="7937" spans="1:5" x14ac:dyDescent="0.25">
      <c r="A7937" s="5">
        <f>7929</f>
      </c>
      <c r="B7937" s="5" t="s">
        <v>7179</v>
      </c>
      <c r="C7937" s="5" t="s">
        <v>11</v>
      </c>
      <c r="D7937" s="5" t="s">
        <v>12</v>
      </c>
      <c r="E7937" s="5" t="s">
        <v>3962</v>
      </c>
    </row>
    <row r="7938" spans="1:5" x14ac:dyDescent="0.25">
      <c r="A7938" s="5">
        <f>7930</f>
      </c>
      <c r="B7938" s="5" t="s">
        <v>7180</v>
      </c>
      <c r="C7938" s="5" t="s">
        <v>11</v>
      </c>
      <c r="D7938" s="5" t="s">
        <v>12</v>
      </c>
      <c r="E7938" s="5" t="s">
        <v>3962</v>
      </c>
    </row>
    <row r="7939" spans="1:5" x14ac:dyDescent="0.25">
      <c r="A7939" s="5">
        <f>7931</f>
      </c>
      <c r="B7939" s="5" t="s">
        <v>7181</v>
      </c>
      <c r="C7939" s="5" t="s">
        <v>11</v>
      </c>
      <c r="D7939" s="5" t="s">
        <v>12</v>
      </c>
      <c r="E7939" s="5" t="s">
        <v>3962</v>
      </c>
    </row>
    <row r="7940" spans="1:5" x14ac:dyDescent="0.25">
      <c r="A7940" s="5">
        <f>7932</f>
      </c>
      <c r="B7940" s="5" t="s">
        <v>7182</v>
      </c>
      <c r="C7940" s="5" t="s">
        <v>11</v>
      </c>
      <c r="D7940" s="5" t="s">
        <v>12</v>
      </c>
      <c r="E7940" s="5" t="s">
        <v>3962</v>
      </c>
    </row>
    <row r="7941" spans="1:5" x14ac:dyDescent="0.25">
      <c r="A7941" s="5">
        <f>7933</f>
      </c>
      <c r="B7941" s="5" t="s">
        <v>7183</v>
      </c>
      <c r="C7941" s="5" t="s">
        <v>11</v>
      </c>
      <c r="D7941" s="5" t="s">
        <v>12</v>
      </c>
      <c r="E7941" s="5" t="s">
        <v>3962</v>
      </c>
    </row>
    <row r="7942" spans="1:5" x14ac:dyDescent="0.25">
      <c r="A7942" s="5">
        <f>7934</f>
      </c>
      <c r="B7942" s="5" t="s">
        <v>7184</v>
      </c>
      <c r="C7942" s="5" t="s">
        <v>11</v>
      </c>
      <c r="D7942" s="5" t="s">
        <v>12</v>
      </c>
      <c r="E7942" s="5" t="s">
        <v>3962</v>
      </c>
    </row>
    <row r="7943" spans="1:5" x14ac:dyDescent="0.25">
      <c r="A7943" s="5">
        <f>7935</f>
      </c>
      <c r="B7943" s="5" t="s">
        <v>7185</v>
      </c>
      <c r="C7943" s="5" t="s">
        <v>11</v>
      </c>
      <c r="D7943" s="5" t="s">
        <v>12</v>
      </c>
      <c r="E7943" s="5" t="s">
        <v>3962</v>
      </c>
    </row>
    <row r="7944" spans="1:5" x14ac:dyDescent="0.25">
      <c r="A7944" s="5">
        <f>7936</f>
      </c>
      <c r="B7944" s="5" t="s">
        <v>7186</v>
      </c>
      <c r="C7944" s="5" t="s">
        <v>11</v>
      </c>
      <c r="D7944" s="5" t="s">
        <v>12</v>
      </c>
      <c r="E7944" s="5" t="s">
        <v>3962</v>
      </c>
    </row>
    <row r="7945" spans="1:5" x14ac:dyDescent="0.25">
      <c r="A7945" s="5">
        <f>7937</f>
      </c>
      <c r="B7945" s="5" t="s">
        <v>7187</v>
      </c>
      <c r="C7945" s="5" t="s">
        <v>11</v>
      </c>
      <c r="D7945" s="5" t="s">
        <v>12</v>
      </c>
      <c r="E7945" s="5" t="s">
        <v>3962</v>
      </c>
    </row>
    <row r="7946" spans="1:5" x14ac:dyDescent="0.25">
      <c r="A7946" s="5">
        <f>7938</f>
      </c>
      <c r="B7946" s="5" t="s">
        <v>7188</v>
      </c>
      <c r="C7946" s="5" t="s">
        <v>11</v>
      </c>
      <c r="D7946" s="5" t="s">
        <v>12</v>
      </c>
      <c r="E7946" s="5" t="s">
        <v>3962</v>
      </c>
    </row>
    <row r="7947" spans="1:5" x14ac:dyDescent="0.25">
      <c r="A7947" s="5">
        <f>7939</f>
      </c>
      <c r="B7947" s="5" t="s">
        <v>7189</v>
      </c>
      <c r="C7947" s="5" t="s">
        <v>11</v>
      </c>
      <c r="D7947" s="5" t="s">
        <v>12</v>
      </c>
      <c r="E7947" s="5" t="s">
        <v>3962</v>
      </c>
    </row>
    <row r="7948" spans="1:5" x14ac:dyDescent="0.25">
      <c r="A7948" s="5">
        <f>7940</f>
      </c>
      <c r="B7948" s="5" t="s">
        <v>7190</v>
      </c>
      <c r="C7948" s="5" t="s">
        <v>11</v>
      </c>
      <c r="D7948" s="5" t="s">
        <v>12</v>
      </c>
      <c r="E7948" s="5" t="s">
        <v>3962</v>
      </c>
    </row>
    <row r="7949" spans="1:5" x14ac:dyDescent="0.25">
      <c r="A7949" s="5">
        <f>7941</f>
      </c>
      <c r="B7949" s="5" t="s">
        <v>7191</v>
      </c>
      <c r="C7949" s="5" t="s">
        <v>11</v>
      </c>
      <c r="D7949" s="5" t="s">
        <v>12</v>
      </c>
      <c r="E7949" s="5" t="s">
        <v>3962</v>
      </c>
    </row>
    <row r="7950" spans="1:5" x14ac:dyDescent="0.25">
      <c r="A7950" s="5">
        <f>7942</f>
      </c>
      <c r="B7950" s="5" t="s">
        <v>7192</v>
      </c>
      <c r="C7950" s="5" t="s">
        <v>11</v>
      </c>
      <c r="D7950" s="5" t="s">
        <v>12</v>
      </c>
      <c r="E7950" s="5" t="s">
        <v>3962</v>
      </c>
    </row>
    <row r="7951" spans="1:5" x14ac:dyDescent="0.25">
      <c r="A7951" s="5">
        <f>7943</f>
      </c>
      <c r="B7951" s="5" t="s">
        <v>7193</v>
      </c>
      <c r="C7951" s="5" t="s">
        <v>11</v>
      </c>
      <c r="D7951" s="5" t="s">
        <v>12</v>
      </c>
      <c r="E7951" s="5" t="s">
        <v>3962</v>
      </c>
    </row>
    <row r="7952" spans="1:5" x14ac:dyDescent="0.25">
      <c r="A7952" s="5">
        <f>7944</f>
      </c>
      <c r="B7952" s="5" t="s">
        <v>7194</v>
      </c>
      <c r="C7952" s="5" t="s">
        <v>11</v>
      </c>
      <c r="D7952" s="5" t="s">
        <v>12</v>
      </c>
      <c r="E7952" s="5" t="s">
        <v>3962</v>
      </c>
    </row>
    <row r="7953" spans="1:5" x14ac:dyDescent="0.25">
      <c r="A7953" s="5">
        <f>7945</f>
      </c>
      <c r="B7953" s="5" t="s">
        <v>7195</v>
      </c>
      <c r="C7953" s="5" t="s">
        <v>11</v>
      </c>
      <c r="D7953" s="5" t="s">
        <v>12</v>
      </c>
      <c r="E7953" s="5" t="s">
        <v>3962</v>
      </c>
    </row>
    <row r="7954" spans="1:5" x14ac:dyDescent="0.25">
      <c r="A7954" s="5">
        <f>7946</f>
      </c>
      <c r="B7954" s="5" t="s">
        <v>7196</v>
      </c>
      <c r="C7954" s="5" t="s">
        <v>11</v>
      </c>
      <c r="D7954" s="5" t="s">
        <v>12</v>
      </c>
      <c r="E7954" s="5" t="s">
        <v>3962</v>
      </c>
    </row>
    <row r="7955" spans="1:5" x14ac:dyDescent="0.25">
      <c r="A7955" s="5">
        <f>7947</f>
      </c>
      <c r="B7955" s="5" t="s">
        <v>7197</v>
      </c>
      <c r="C7955" s="5" t="s">
        <v>11</v>
      </c>
      <c r="D7955" s="5" t="s">
        <v>12</v>
      </c>
      <c r="E7955" s="5" t="s">
        <v>3962</v>
      </c>
    </row>
    <row r="7956" spans="1:5" x14ac:dyDescent="0.25">
      <c r="A7956" s="5">
        <f>7948</f>
      </c>
      <c r="B7956" s="5" t="s">
        <v>7198</v>
      </c>
      <c r="C7956" s="5" t="s">
        <v>11</v>
      </c>
      <c r="D7956" s="5" t="s">
        <v>12</v>
      </c>
      <c r="E7956" s="5" t="s">
        <v>3962</v>
      </c>
    </row>
    <row r="7957" spans="1:5" x14ac:dyDescent="0.25">
      <c r="A7957" s="5">
        <f>7949</f>
      </c>
      <c r="B7957" s="5" t="s">
        <v>7199</v>
      </c>
      <c r="C7957" s="5" t="s">
        <v>11</v>
      </c>
      <c r="D7957" s="5" t="s">
        <v>12</v>
      </c>
      <c r="E7957" s="5" t="s">
        <v>3962</v>
      </c>
    </row>
    <row r="7958" spans="1:5" x14ac:dyDescent="0.25">
      <c r="A7958" s="5">
        <f>7950</f>
      </c>
      <c r="B7958" s="5" t="s">
        <v>7200</v>
      </c>
      <c r="C7958" s="5" t="s">
        <v>11</v>
      </c>
      <c r="D7958" s="5" t="s">
        <v>12</v>
      </c>
      <c r="E7958" s="5" t="s">
        <v>3962</v>
      </c>
    </row>
    <row r="7959" spans="1:5" x14ac:dyDescent="0.25">
      <c r="A7959" s="5">
        <f>7951</f>
      </c>
      <c r="B7959" s="5" t="s">
        <v>7201</v>
      </c>
      <c r="C7959" s="5" t="s">
        <v>11</v>
      </c>
      <c r="D7959" s="5" t="s">
        <v>12</v>
      </c>
      <c r="E7959" s="5" t="s">
        <v>3962</v>
      </c>
    </row>
    <row r="7960" spans="1:5" x14ac:dyDescent="0.25">
      <c r="A7960" s="5">
        <f>7952</f>
      </c>
      <c r="B7960" s="5" t="s">
        <v>7202</v>
      </c>
      <c r="C7960" s="5" t="s">
        <v>11</v>
      </c>
      <c r="D7960" s="5" t="s">
        <v>12</v>
      </c>
      <c r="E7960" s="5" t="s">
        <v>3962</v>
      </c>
    </row>
    <row r="7961" spans="1:5" x14ac:dyDescent="0.25">
      <c r="A7961" s="5">
        <f>7953</f>
      </c>
      <c r="B7961" s="5" t="s">
        <v>7203</v>
      </c>
      <c r="C7961" s="5" t="s">
        <v>11</v>
      </c>
      <c r="D7961" s="5" t="s">
        <v>12</v>
      </c>
      <c r="E7961" s="5" t="s">
        <v>3962</v>
      </c>
    </row>
    <row r="7962" spans="1:5" x14ac:dyDescent="0.25">
      <c r="A7962" s="5">
        <f>7954</f>
      </c>
      <c r="B7962" s="5" t="s">
        <v>7204</v>
      </c>
      <c r="C7962" s="5" t="s">
        <v>11</v>
      </c>
      <c r="D7962" s="5" t="s">
        <v>12</v>
      </c>
      <c r="E7962" s="5" t="s">
        <v>3962</v>
      </c>
    </row>
    <row r="7963" spans="1:5" x14ac:dyDescent="0.25">
      <c r="A7963" s="5">
        <f>7955</f>
      </c>
      <c r="B7963" s="5" t="s">
        <v>7205</v>
      </c>
      <c r="C7963" s="5" t="s">
        <v>11</v>
      </c>
      <c r="D7963" s="5" t="s">
        <v>12</v>
      </c>
      <c r="E7963" s="5" t="s">
        <v>3962</v>
      </c>
    </row>
    <row r="7964" spans="1:5" x14ac:dyDescent="0.25">
      <c r="A7964" s="5">
        <f>7956</f>
      </c>
      <c r="B7964" s="5" t="s">
        <v>7206</v>
      </c>
      <c r="C7964" s="5" t="s">
        <v>11</v>
      </c>
      <c r="D7964" s="5" t="s">
        <v>12</v>
      </c>
      <c r="E7964" s="5" t="s">
        <v>3962</v>
      </c>
    </row>
    <row r="7965" spans="1:5" x14ac:dyDescent="0.25">
      <c r="A7965" s="5">
        <f>7957</f>
      </c>
      <c r="B7965" s="5" t="s">
        <v>7207</v>
      </c>
      <c r="C7965" s="5" t="s">
        <v>11</v>
      </c>
      <c r="D7965" s="5" t="s">
        <v>12</v>
      </c>
      <c r="E7965" s="5" t="s">
        <v>3962</v>
      </c>
    </row>
    <row r="7966" spans="1:5" x14ac:dyDescent="0.25">
      <c r="A7966" s="5">
        <f>7958</f>
      </c>
      <c r="B7966" s="5" t="s">
        <v>7208</v>
      </c>
      <c r="C7966" s="5" t="s">
        <v>11</v>
      </c>
      <c r="D7966" s="5" t="s">
        <v>12</v>
      </c>
      <c r="E7966" s="5" t="s">
        <v>3962</v>
      </c>
    </row>
    <row r="7967" spans="1:5" x14ac:dyDescent="0.25">
      <c r="A7967" s="5">
        <f>7959</f>
      </c>
      <c r="B7967" s="5" t="s">
        <v>7209</v>
      </c>
      <c r="C7967" s="5" t="s">
        <v>11</v>
      </c>
      <c r="D7967" s="5" t="s">
        <v>12</v>
      </c>
      <c r="E7967" s="5" t="s">
        <v>3962</v>
      </c>
    </row>
    <row r="7968" spans="1:5" x14ac:dyDescent="0.25">
      <c r="A7968" s="5">
        <f>7960</f>
      </c>
      <c r="B7968" s="5" t="s">
        <v>7210</v>
      </c>
      <c r="C7968" s="5" t="s">
        <v>11</v>
      </c>
      <c r="D7968" s="5" t="s">
        <v>12</v>
      </c>
      <c r="E7968" s="5" t="s">
        <v>3962</v>
      </c>
    </row>
    <row r="7969" spans="1:5" x14ac:dyDescent="0.25">
      <c r="A7969" s="5">
        <f>7961</f>
      </c>
      <c r="B7969" s="5" t="s">
        <v>7211</v>
      </c>
      <c r="C7969" s="5" t="s">
        <v>11</v>
      </c>
      <c r="D7969" s="5" t="s">
        <v>12</v>
      </c>
      <c r="E7969" s="5" t="s">
        <v>3962</v>
      </c>
    </row>
    <row r="7970" spans="1:5" x14ac:dyDescent="0.25">
      <c r="A7970" s="5">
        <f>7962</f>
      </c>
      <c r="B7970" s="5" t="s">
        <v>7212</v>
      </c>
      <c r="C7970" s="5" t="s">
        <v>11</v>
      </c>
      <c r="D7970" s="5" t="s">
        <v>12</v>
      </c>
      <c r="E7970" s="5" t="s">
        <v>3962</v>
      </c>
    </row>
    <row r="7971" spans="1:5" x14ac:dyDescent="0.25">
      <c r="A7971" s="5">
        <f>7963</f>
      </c>
      <c r="B7971" s="5" t="s">
        <v>7213</v>
      </c>
      <c r="C7971" s="5" t="s">
        <v>11</v>
      </c>
      <c r="D7971" s="5" t="s">
        <v>12</v>
      </c>
      <c r="E7971" s="5" t="s">
        <v>3962</v>
      </c>
    </row>
    <row r="7972" spans="1:5" x14ac:dyDescent="0.25">
      <c r="A7972" s="5">
        <f>7964</f>
      </c>
      <c r="B7972" s="5" t="s">
        <v>7214</v>
      </c>
      <c r="C7972" s="5" t="s">
        <v>11</v>
      </c>
      <c r="D7972" s="5" t="s">
        <v>12</v>
      </c>
      <c r="E7972" s="5" t="s">
        <v>3962</v>
      </c>
    </row>
    <row r="7973" spans="1:5" x14ac:dyDescent="0.25">
      <c r="A7973" s="5">
        <f>7965</f>
      </c>
      <c r="B7973" s="5" t="s">
        <v>7215</v>
      </c>
      <c r="C7973" s="5" t="s">
        <v>11</v>
      </c>
      <c r="D7973" s="5" t="s">
        <v>12</v>
      </c>
      <c r="E7973" s="5" t="s">
        <v>3962</v>
      </c>
    </row>
    <row r="7974" spans="1:5" x14ac:dyDescent="0.25">
      <c r="A7974" s="5">
        <f>7966</f>
      </c>
      <c r="B7974" s="5" t="s">
        <v>7216</v>
      </c>
      <c r="C7974" s="5" t="s">
        <v>11</v>
      </c>
      <c r="D7974" s="5" t="s">
        <v>12</v>
      </c>
      <c r="E7974" s="5" t="s">
        <v>3962</v>
      </c>
    </row>
    <row r="7975" spans="1:5" x14ac:dyDescent="0.25">
      <c r="A7975" s="5">
        <f>7967</f>
      </c>
      <c r="B7975" s="5" t="s">
        <v>7217</v>
      </c>
      <c r="C7975" s="5" t="s">
        <v>11</v>
      </c>
      <c r="D7975" s="5" t="s">
        <v>12</v>
      </c>
      <c r="E7975" s="5" t="s">
        <v>3962</v>
      </c>
    </row>
    <row r="7976" spans="1:5" x14ac:dyDescent="0.25">
      <c r="A7976" s="5">
        <f>7968</f>
      </c>
      <c r="B7976" s="5" t="s">
        <v>7218</v>
      </c>
      <c r="C7976" s="5" t="s">
        <v>11</v>
      </c>
      <c r="D7976" s="5" t="s">
        <v>12</v>
      </c>
      <c r="E7976" s="5" t="s">
        <v>3962</v>
      </c>
    </row>
    <row r="7977" spans="1:5" x14ac:dyDescent="0.25">
      <c r="A7977" s="5">
        <f>7969</f>
      </c>
      <c r="B7977" s="5" t="s">
        <v>7219</v>
      </c>
      <c r="C7977" s="5" t="s">
        <v>11</v>
      </c>
      <c r="D7977" s="5" t="s">
        <v>12</v>
      </c>
      <c r="E7977" s="5" t="s">
        <v>3962</v>
      </c>
    </row>
    <row r="7978" spans="1:5" x14ac:dyDescent="0.25">
      <c r="A7978" s="5">
        <f>7970</f>
      </c>
      <c r="B7978" s="5" t="s">
        <v>7220</v>
      </c>
      <c r="C7978" s="5" t="s">
        <v>11</v>
      </c>
      <c r="D7978" s="5" t="s">
        <v>12</v>
      </c>
      <c r="E7978" s="5" t="s">
        <v>3962</v>
      </c>
    </row>
    <row r="7979" spans="1:5" x14ac:dyDescent="0.25">
      <c r="A7979" s="5">
        <f>7971</f>
      </c>
      <c r="B7979" s="5" t="s">
        <v>7221</v>
      </c>
      <c r="C7979" s="5" t="s">
        <v>11</v>
      </c>
      <c r="D7979" s="5" t="s">
        <v>12</v>
      </c>
      <c r="E7979" s="5" t="s">
        <v>3962</v>
      </c>
    </row>
    <row r="7980" spans="1:5" x14ac:dyDescent="0.25">
      <c r="A7980" s="5">
        <f>7972</f>
      </c>
      <c r="B7980" s="5" t="s">
        <v>7222</v>
      </c>
      <c r="C7980" s="5" t="s">
        <v>11</v>
      </c>
      <c r="D7980" s="5" t="s">
        <v>12</v>
      </c>
      <c r="E7980" s="5" t="s">
        <v>3962</v>
      </c>
    </row>
    <row r="7981" spans="1:5" x14ac:dyDescent="0.25">
      <c r="A7981" s="5">
        <f>7973</f>
      </c>
      <c r="B7981" s="5" t="s">
        <v>7223</v>
      </c>
      <c r="C7981" s="5" t="s">
        <v>11</v>
      </c>
      <c r="D7981" s="5" t="s">
        <v>12</v>
      </c>
      <c r="E7981" s="5" t="s">
        <v>3962</v>
      </c>
    </row>
    <row r="7982" spans="1:5" x14ac:dyDescent="0.25">
      <c r="A7982" s="5">
        <f>7974</f>
      </c>
      <c r="B7982" s="5" t="s">
        <v>7224</v>
      </c>
      <c r="C7982" s="5" t="s">
        <v>11</v>
      </c>
      <c r="D7982" s="5" t="s">
        <v>12</v>
      </c>
      <c r="E7982" s="5" t="s">
        <v>3962</v>
      </c>
    </row>
    <row r="7983" spans="1:5" x14ac:dyDescent="0.25">
      <c r="A7983" s="5">
        <f>7975</f>
      </c>
      <c r="B7983" s="5" t="s">
        <v>7225</v>
      </c>
      <c r="C7983" s="5" t="s">
        <v>11</v>
      </c>
      <c r="D7983" s="5" t="s">
        <v>12</v>
      </c>
      <c r="E7983" s="5" t="s">
        <v>3962</v>
      </c>
    </row>
    <row r="7984" spans="1:5" x14ac:dyDescent="0.25">
      <c r="A7984" s="5">
        <f>7976</f>
      </c>
      <c r="B7984" s="5" t="s">
        <v>7226</v>
      </c>
      <c r="C7984" s="5" t="s">
        <v>11</v>
      </c>
      <c r="D7984" s="5" t="s">
        <v>12</v>
      </c>
      <c r="E7984" s="5" t="s">
        <v>3962</v>
      </c>
    </row>
    <row r="7985" spans="1:5" x14ac:dyDescent="0.25">
      <c r="A7985" s="5">
        <f>7977</f>
      </c>
      <c r="B7985" s="5" t="s">
        <v>7227</v>
      </c>
      <c r="C7985" s="5" t="s">
        <v>11</v>
      </c>
      <c r="D7985" s="5" t="s">
        <v>12</v>
      </c>
      <c r="E7985" s="5" t="s">
        <v>3962</v>
      </c>
    </row>
    <row r="7986" spans="1:5" x14ac:dyDescent="0.25">
      <c r="A7986" s="5">
        <f>7978</f>
      </c>
      <c r="B7986" s="5" t="s">
        <v>7228</v>
      </c>
      <c r="C7986" s="5" t="s">
        <v>11</v>
      </c>
      <c r="D7986" s="5" t="s">
        <v>12</v>
      </c>
      <c r="E7986" s="5" t="s">
        <v>3962</v>
      </c>
    </row>
    <row r="7987" spans="1:5" x14ac:dyDescent="0.25">
      <c r="A7987" s="5">
        <f>7979</f>
      </c>
      <c r="B7987" s="5" t="s">
        <v>7229</v>
      </c>
      <c r="C7987" s="5" t="s">
        <v>11</v>
      </c>
      <c r="D7987" s="5" t="s">
        <v>12</v>
      </c>
      <c r="E7987" s="5" t="s">
        <v>3962</v>
      </c>
    </row>
    <row r="7988" spans="1:5" x14ac:dyDescent="0.25">
      <c r="A7988" s="5">
        <f>7980</f>
      </c>
      <c r="B7988" s="5" t="s">
        <v>7230</v>
      </c>
      <c r="C7988" s="5" t="s">
        <v>11</v>
      </c>
      <c r="D7988" s="5" t="s">
        <v>12</v>
      </c>
      <c r="E7988" s="5" t="s">
        <v>3962</v>
      </c>
    </row>
    <row r="7989" spans="1:5" x14ac:dyDescent="0.25">
      <c r="A7989" s="5">
        <f>7981</f>
      </c>
      <c r="B7989" s="5" t="s">
        <v>7231</v>
      </c>
      <c r="C7989" s="5" t="s">
        <v>11</v>
      </c>
      <c r="D7989" s="5" t="s">
        <v>12</v>
      </c>
      <c r="E7989" s="5" t="s">
        <v>3962</v>
      </c>
    </row>
    <row r="7990" spans="1:5" x14ac:dyDescent="0.25">
      <c r="A7990" s="5">
        <f>7982</f>
      </c>
      <c r="B7990" s="5" t="s">
        <v>7232</v>
      </c>
      <c r="C7990" s="5" t="s">
        <v>11</v>
      </c>
      <c r="D7990" s="5" t="s">
        <v>12</v>
      </c>
      <c r="E7990" s="5" t="s">
        <v>3962</v>
      </c>
    </row>
    <row r="7991" spans="1:5" x14ac:dyDescent="0.25">
      <c r="A7991" s="5">
        <f>7983</f>
      </c>
      <c r="B7991" s="5" t="s">
        <v>7233</v>
      </c>
      <c r="C7991" s="5" t="s">
        <v>11</v>
      </c>
      <c r="D7991" s="5" t="s">
        <v>12</v>
      </c>
      <c r="E7991" s="5" t="s">
        <v>3962</v>
      </c>
    </row>
    <row r="7992" spans="1:5" x14ac:dyDescent="0.25">
      <c r="A7992" s="5">
        <f>7984</f>
      </c>
      <c r="B7992" s="5" t="s">
        <v>7234</v>
      </c>
      <c r="C7992" s="5" t="s">
        <v>11</v>
      </c>
      <c r="D7992" s="5" t="s">
        <v>12</v>
      </c>
      <c r="E7992" s="5" t="s">
        <v>3962</v>
      </c>
    </row>
    <row r="7993" spans="1:5" x14ac:dyDescent="0.25">
      <c r="A7993" s="5">
        <f>7985</f>
      </c>
      <c r="B7993" s="5" t="s">
        <v>7235</v>
      </c>
      <c r="C7993" s="5" t="s">
        <v>11</v>
      </c>
      <c r="D7993" s="5" t="s">
        <v>12</v>
      </c>
      <c r="E7993" s="5" t="s">
        <v>3962</v>
      </c>
    </row>
    <row r="7994" spans="1:5" x14ac:dyDescent="0.25">
      <c r="A7994" s="5">
        <f>7986</f>
      </c>
      <c r="B7994" s="5" t="s">
        <v>7236</v>
      </c>
      <c r="C7994" s="5" t="s">
        <v>11</v>
      </c>
      <c r="D7994" s="5" t="s">
        <v>12</v>
      </c>
      <c r="E7994" s="5" t="s">
        <v>3962</v>
      </c>
    </row>
    <row r="7995" spans="1:5" x14ac:dyDescent="0.25">
      <c r="A7995" s="5">
        <f>7987</f>
      </c>
      <c r="B7995" s="5" t="s">
        <v>7237</v>
      </c>
      <c r="C7995" s="5" t="s">
        <v>11</v>
      </c>
      <c r="D7995" s="5" t="s">
        <v>12</v>
      </c>
      <c r="E7995" s="5" t="s">
        <v>3962</v>
      </c>
    </row>
    <row r="7996" spans="1:5" x14ac:dyDescent="0.25">
      <c r="A7996" s="5">
        <f>7988</f>
      </c>
      <c r="B7996" s="5" t="s">
        <v>7238</v>
      </c>
      <c r="C7996" s="5" t="s">
        <v>11</v>
      </c>
      <c r="D7996" s="5" t="s">
        <v>12</v>
      </c>
      <c r="E7996" s="5" t="s">
        <v>3962</v>
      </c>
    </row>
    <row r="7997" spans="1:5" x14ac:dyDescent="0.25">
      <c r="A7997" s="5">
        <f>7989</f>
      </c>
      <c r="B7997" s="5" t="s">
        <v>7239</v>
      </c>
      <c r="C7997" s="5" t="s">
        <v>11</v>
      </c>
      <c r="D7997" s="5" t="s">
        <v>12</v>
      </c>
      <c r="E7997" s="5" t="s">
        <v>3962</v>
      </c>
    </row>
    <row r="7998" spans="1:5" x14ac:dyDescent="0.25">
      <c r="A7998" s="5">
        <f>7990</f>
      </c>
      <c r="B7998" s="5" t="s">
        <v>7240</v>
      </c>
      <c r="C7998" s="5" t="s">
        <v>11</v>
      </c>
      <c r="D7998" s="5" t="s">
        <v>12</v>
      </c>
      <c r="E7998" s="5" t="s">
        <v>3962</v>
      </c>
    </row>
    <row r="7999" spans="1:5" x14ac:dyDescent="0.25">
      <c r="A7999" s="5">
        <f>7991</f>
      </c>
      <c r="B7999" s="5" t="s">
        <v>7241</v>
      </c>
      <c r="C7999" s="5" t="s">
        <v>11</v>
      </c>
      <c r="D7999" s="5" t="s">
        <v>12</v>
      </c>
      <c r="E7999" s="5" t="s">
        <v>3962</v>
      </c>
    </row>
    <row r="8000" spans="1:5" x14ac:dyDescent="0.25">
      <c r="A8000" s="5">
        <f>7992</f>
      </c>
      <c r="B8000" s="5" t="s">
        <v>7242</v>
      </c>
      <c r="C8000" s="5" t="s">
        <v>11</v>
      </c>
      <c r="D8000" s="5" t="s">
        <v>12</v>
      </c>
      <c r="E8000" s="5" t="s">
        <v>3962</v>
      </c>
    </row>
    <row r="8001" spans="1:5" x14ac:dyDescent="0.25">
      <c r="A8001" s="5">
        <f>7993</f>
      </c>
      <c r="B8001" s="5" t="s">
        <v>7243</v>
      </c>
      <c r="C8001" s="5" t="s">
        <v>11</v>
      </c>
      <c r="D8001" s="5" t="s">
        <v>12</v>
      </c>
      <c r="E8001" s="5" t="s">
        <v>3962</v>
      </c>
    </row>
    <row r="8002" spans="1:5" x14ac:dyDescent="0.25">
      <c r="A8002" s="5">
        <f>7994</f>
      </c>
      <c r="B8002" s="5" t="s">
        <v>7244</v>
      </c>
      <c r="C8002" s="5" t="s">
        <v>11</v>
      </c>
      <c r="D8002" s="5" t="s">
        <v>12</v>
      </c>
      <c r="E8002" s="5" t="s">
        <v>3962</v>
      </c>
    </row>
    <row r="8003" spans="1:5" x14ac:dyDescent="0.25">
      <c r="A8003" s="5">
        <f>7995</f>
      </c>
      <c r="B8003" s="5" t="s">
        <v>7245</v>
      </c>
      <c r="C8003" s="5" t="s">
        <v>11</v>
      </c>
      <c r="D8003" s="5" t="s">
        <v>12</v>
      </c>
      <c r="E8003" s="5" t="s">
        <v>3962</v>
      </c>
    </row>
    <row r="8004" spans="1:5" x14ac:dyDescent="0.25">
      <c r="A8004" s="5">
        <f>7996</f>
      </c>
      <c r="B8004" s="5" t="s">
        <v>7246</v>
      </c>
      <c r="C8004" s="5" t="s">
        <v>11</v>
      </c>
      <c r="D8004" s="5" t="s">
        <v>12</v>
      </c>
      <c r="E8004" s="5" t="s">
        <v>3962</v>
      </c>
    </row>
    <row r="8005" spans="1:5" x14ac:dyDescent="0.25">
      <c r="A8005" s="5">
        <f>7997</f>
      </c>
      <c r="B8005" s="5" t="s">
        <v>7247</v>
      </c>
      <c r="C8005" s="5" t="s">
        <v>11</v>
      </c>
      <c r="D8005" s="5" t="s">
        <v>12</v>
      </c>
      <c r="E8005" s="5" t="s">
        <v>3962</v>
      </c>
    </row>
    <row r="8006" spans="1:5" x14ac:dyDescent="0.25">
      <c r="A8006" s="5">
        <f>7998</f>
      </c>
      <c r="B8006" s="5" t="s">
        <v>7248</v>
      </c>
      <c r="C8006" s="5" t="s">
        <v>11</v>
      </c>
      <c r="D8006" s="5" t="s">
        <v>12</v>
      </c>
      <c r="E8006" s="5" t="s">
        <v>3962</v>
      </c>
    </row>
    <row r="8007" spans="1:5" x14ac:dyDescent="0.25">
      <c r="A8007" s="5">
        <f>7999</f>
      </c>
      <c r="B8007" s="5" t="s">
        <v>7249</v>
      </c>
      <c r="C8007" s="5" t="s">
        <v>11</v>
      </c>
      <c r="D8007" s="5" t="s">
        <v>12</v>
      </c>
      <c r="E8007" s="5" t="s">
        <v>3962</v>
      </c>
    </row>
    <row r="8008" spans="1:5" x14ac:dyDescent="0.25">
      <c r="A8008" s="5">
        <f>8000</f>
      </c>
      <c r="B8008" s="5" t="s">
        <v>7250</v>
      </c>
      <c r="C8008" s="5" t="s">
        <v>11</v>
      </c>
      <c r="D8008" s="5" t="s">
        <v>12</v>
      </c>
      <c r="E8008" s="5" t="s">
        <v>3962</v>
      </c>
    </row>
    <row r="8009" spans="1:5" x14ac:dyDescent="0.25">
      <c r="A8009" s="5">
        <f>8001</f>
      </c>
      <c r="B8009" s="5" t="s">
        <v>7251</v>
      </c>
      <c r="C8009" s="5" t="s">
        <v>11</v>
      </c>
      <c r="D8009" s="5" t="s">
        <v>12</v>
      </c>
      <c r="E8009" s="5" t="s">
        <v>3962</v>
      </c>
    </row>
    <row r="8010" spans="1:5" x14ac:dyDescent="0.25">
      <c r="A8010" s="5">
        <f>8002</f>
      </c>
      <c r="B8010" s="5" t="s">
        <v>7252</v>
      </c>
      <c r="C8010" s="5" t="s">
        <v>11</v>
      </c>
      <c r="D8010" s="5" t="s">
        <v>12</v>
      </c>
      <c r="E8010" s="5" t="s">
        <v>3962</v>
      </c>
    </row>
    <row r="8011" spans="1:5" x14ac:dyDescent="0.25">
      <c r="A8011" s="5">
        <f>8003</f>
      </c>
      <c r="B8011" s="5" t="s">
        <v>7253</v>
      </c>
      <c r="C8011" s="5" t="s">
        <v>11</v>
      </c>
      <c r="D8011" s="5" t="s">
        <v>12</v>
      </c>
      <c r="E8011" s="5" t="s">
        <v>3962</v>
      </c>
    </row>
    <row r="8012" spans="1:5" x14ac:dyDescent="0.25">
      <c r="A8012" s="5">
        <f>8004</f>
      </c>
      <c r="B8012" s="5" t="s">
        <v>7254</v>
      </c>
      <c r="C8012" s="5" t="s">
        <v>11</v>
      </c>
      <c r="D8012" s="5" t="s">
        <v>12</v>
      </c>
      <c r="E8012" s="5" t="s">
        <v>3962</v>
      </c>
    </row>
    <row r="8013" spans="1:5" x14ac:dyDescent="0.25">
      <c r="A8013" s="5">
        <f>8005</f>
      </c>
      <c r="B8013" s="5" t="s">
        <v>7255</v>
      </c>
      <c r="C8013" s="5" t="s">
        <v>11</v>
      </c>
      <c r="D8013" s="5" t="s">
        <v>12</v>
      </c>
      <c r="E8013" s="5" t="s">
        <v>3962</v>
      </c>
    </row>
    <row r="8014" spans="1:5" x14ac:dyDescent="0.25">
      <c r="A8014" s="5">
        <f>8006</f>
      </c>
      <c r="B8014" s="5" t="s">
        <v>7256</v>
      </c>
      <c r="C8014" s="5" t="s">
        <v>11</v>
      </c>
      <c r="D8014" s="5" t="s">
        <v>12</v>
      </c>
      <c r="E8014" s="5" t="s">
        <v>3962</v>
      </c>
    </row>
    <row r="8015" spans="1:5" x14ac:dyDescent="0.25">
      <c r="A8015" s="5">
        <f>8007</f>
      </c>
      <c r="B8015" s="5" t="s">
        <v>7257</v>
      </c>
      <c r="C8015" s="5" t="s">
        <v>11</v>
      </c>
      <c r="D8015" s="5" t="s">
        <v>12</v>
      </c>
      <c r="E8015" s="5" t="s">
        <v>3962</v>
      </c>
    </row>
    <row r="8016" spans="1:5" x14ac:dyDescent="0.25">
      <c r="A8016" s="5">
        <f>8008</f>
      </c>
      <c r="B8016" s="5" t="s">
        <v>7258</v>
      </c>
      <c r="C8016" s="5" t="s">
        <v>11</v>
      </c>
      <c r="D8016" s="5" t="s">
        <v>12</v>
      </c>
      <c r="E8016" s="5" t="s">
        <v>3962</v>
      </c>
    </row>
    <row r="8017" spans="1:5" x14ac:dyDescent="0.25">
      <c r="A8017" s="5">
        <f>8009</f>
      </c>
      <c r="B8017" s="5" t="s">
        <v>7259</v>
      </c>
      <c r="C8017" s="5" t="s">
        <v>11</v>
      </c>
      <c r="D8017" s="5" t="s">
        <v>12</v>
      </c>
      <c r="E8017" s="5" t="s">
        <v>3962</v>
      </c>
    </row>
    <row r="8018" spans="1:5" x14ac:dyDescent="0.25">
      <c r="A8018" s="5">
        <f>8010</f>
      </c>
      <c r="B8018" s="5" t="s">
        <v>7260</v>
      </c>
      <c r="C8018" s="5" t="s">
        <v>11</v>
      </c>
      <c r="D8018" s="5" t="s">
        <v>12</v>
      </c>
      <c r="E8018" s="5" t="s">
        <v>3962</v>
      </c>
    </row>
    <row r="8019" spans="1:5" x14ac:dyDescent="0.25">
      <c r="A8019" s="5">
        <f>8011</f>
      </c>
      <c r="B8019" s="5" t="s">
        <v>7261</v>
      </c>
      <c r="C8019" s="5" t="s">
        <v>11</v>
      </c>
      <c r="D8019" s="5" t="s">
        <v>12</v>
      </c>
      <c r="E8019" s="5" t="s">
        <v>3962</v>
      </c>
    </row>
    <row r="8020" spans="1:5" x14ac:dyDescent="0.25">
      <c r="A8020" s="5">
        <f>8012</f>
      </c>
      <c r="B8020" s="5" t="s">
        <v>7262</v>
      </c>
      <c r="C8020" s="5" t="s">
        <v>11</v>
      </c>
      <c r="D8020" s="5" t="s">
        <v>12</v>
      </c>
      <c r="E8020" s="5" t="s">
        <v>3962</v>
      </c>
    </row>
    <row r="8021" spans="1:5" x14ac:dyDescent="0.25">
      <c r="A8021" s="5">
        <f>8013</f>
      </c>
      <c r="B8021" s="5" t="s">
        <v>7263</v>
      </c>
      <c r="C8021" s="5" t="s">
        <v>11</v>
      </c>
      <c r="D8021" s="5" t="s">
        <v>12</v>
      </c>
      <c r="E8021" s="5" t="s">
        <v>3962</v>
      </c>
    </row>
    <row r="8022" spans="1:5" x14ac:dyDescent="0.25">
      <c r="A8022" s="5">
        <f>8014</f>
      </c>
      <c r="B8022" s="5" t="s">
        <v>7264</v>
      </c>
      <c r="C8022" s="5" t="s">
        <v>11</v>
      </c>
      <c r="D8022" s="5" t="s">
        <v>12</v>
      </c>
      <c r="E8022" s="5" t="s">
        <v>3962</v>
      </c>
    </row>
    <row r="8023" spans="1:5" x14ac:dyDescent="0.25">
      <c r="A8023" s="5">
        <f>8015</f>
      </c>
      <c r="B8023" s="5" t="s">
        <v>7265</v>
      </c>
      <c r="C8023" s="5" t="s">
        <v>11</v>
      </c>
      <c r="D8023" s="5" t="s">
        <v>12</v>
      </c>
      <c r="E8023" s="5" t="s">
        <v>3962</v>
      </c>
    </row>
    <row r="8024" spans="1:5" x14ac:dyDescent="0.25">
      <c r="A8024" s="5">
        <f>8016</f>
      </c>
      <c r="B8024" s="5" t="s">
        <v>7266</v>
      </c>
      <c r="C8024" s="5" t="s">
        <v>11</v>
      </c>
      <c r="D8024" s="5" t="s">
        <v>12</v>
      </c>
      <c r="E8024" s="5" t="s">
        <v>3962</v>
      </c>
    </row>
    <row r="8025" spans="1:5" x14ac:dyDescent="0.25">
      <c r="A8025" s="5">
        <f>8017</f>
      </c>
      <c r="B8025" s="5" t="s">
        <v>7267</v>
      </c>
      <c r="C8025" s="5" t="s">
        <v>11</v>
      </c>
      <c r="D8025" s="5" t="s">
        <v>12</v>
      </c>
      <c r="E8025" s="5" t="s">
        <v>3962</v>
      </c>
    </row>
    <row r="8026" spans="1:5" x14ac:dyDescent="0.25">
      <c r="A8026" s="5">
        <f>8018</f>
      </c>
      <c r="B8026" s="5" t="s">
        <v>7268</v>
      </c>
      <c r="C8026" s="5" t="s">
        <v>11</v>
      </c>
      <c r="D8026" s="5" t="s">
        <v>12</v>
      </c>
      <c r="E8026" s="5" t="s">
        <v>3962</v>
      </c>
    </row>
    <row r="8027" spans="1:5" x14ac:dyDescent="0.25">
      <c r="A8027" s="5">
        <f>8019</f>
      </c>
      <c r="B8027" s="5" t="s">
        <v>7269</v>
      </c>
      <c r="C8027" s="5" t="s">
        <v>11</v>
      </c>
      <c r="D8027" s="5" t="s">
        <v>12</v>
      </c>
      <c r="E8027" s="5" t="s">
        <v>3962</v>
      </c>
    </row>
    <row r="8028" spans="1:5" x14ac:dyDescent="0.25">
      <c r="A8028" s="5">
        <f>8020</f>
      </c>
      <c r="B8028" s="5" t="s">
        <v>7270</v>
      </c>
      <c r="C8028" s="5" t="s">
        <v>11</v>
      </c>
      <c r="D8028" s="5" t="s">
        <v>12</v>
      </c>
      <c r="E8028" s="5" t="s">
        <v>3962</v>
      </c>
    </row>
    <row r="8029" spans="1:5" x14ac:dyDescent="0.25">
      <c r="A8029" s="5">
        <f>8021</f>
      </c>
      <c r="B8029" s="5" t="s">
        <v>7271</v>
      </c>
      <c r="C8029" s="5" t="s">
        <v>11</v>
      </c>
      <c r="D8029" s="5" t="s">
        <v>12</v>
      </c>
      <c r="E8029" s="5" t="s">
        <v>3962</v>
      </c>
    </row>
    <row r="8030" spans="1:5" x14ac:dyDescent="0.25">
      <c r="A8030" s="5">
        <f>8022</f>
      </c>
      <c r="B8030" s="5" t="s">
        <v>7272</v>
      </c>
      <c r="C8030" s="5" t="s">
        <v>11</v>
      </c>
      <c r="D8030" s="5" t="s">
        <v>12</v>
      </c>
      <c r="E8030" s="5" t="s">
        <v>3962</v>
      </c>
    </row>
    <row r="8031" spans="1:5" x14ac:dyDescent="0.25">
      <c r="A8031" s="5">
        <f>8023</f>
      </c>
      <c r="B8031" s="5" t="s">
        <v>7273</v>
      </c>
      <c r="C8031" s="5" t="s">
        <v>11</v>
      </c>
      <c r="D8031" s="5" t="s">
        <v>12</v>
      </c>
      <c r="E8031" s="5" t="s">
        <v>3962</v>
      </c>
    </row>
    <row r="8032" spans="1:5" x14ac:dyDescent="0.25">
      <c r="A8032" s="5">
        <f>8024</f>
      </c>
      <c r="B8032" s="5" t="s">
        <v>7274</v>
      </c>
      <c r="C8032" s="5" t="s">
        <v>11</v>
      </c>
      <c r="D8032" s="5" t="s">
        <v>12</v>
      </c>
      <c r="E8032" s="5" t="s">
        <v>3962</v>
      </c>
    </row>
    <row r="8033" spans="1:5" x14ac:dyDescent="0.25">
      <c r="A8033" s="5">
        <f>8025</f>
      </c>
      <c r="B8033" s="5" t="s">
        <v>7275</v>
      </c>
      <c r="C8033" s="5" t="s">
        <v>11</v>
      </c>
      <c r="D8033" s="5" t="s">
        <v>12</v>
      </c>
      <c r="E8033" s="5" t="s">
        <v>3962</v>
      </c>
    </row>
    <row r="8034" spans="1:5" x14ac:dyDescent="0.25">
      <c r="A8034" s="5">
        <f>8026</f>
      </c>
      <c r="B8034" s="5" t="s">
        <v>7276</v>
      </c>
      <c r="C8034" s="5" t="s">
        <v>11</v>
      </c>
      <c r="D8034" s="5" t="s">
        <v>12</v>
      </c>
      <c r="E8034" s="5" t="s">
        <v>3962</v>
      </c>
    </row>
    <row r="8035" spans="1:5" x14ac:dyDescent="0.25">
      <c r="A8035" s="5">
        <f>8027</f>
      </c>
      <c r="B8035" s="5" t="s">
        <v>7277</v>
      </c>
      <c r="C8035" s="5" t="s">
        <v>11</v>
      </c>
      <c r="D8035" s="5" t="s">
        <v>12</v>
      </c>
      <c r="E8035" s="5" t="s">
        <v>3962</v>
      </c>
    </row>
    <row r="8036" spans="1:5" x14ac:dyDescent="0.25">
      <c r="A8036" s="5">
        <f>8028</f>
      </c>
      <c r="B8036" s="5" t="s">
        <v>7278</v>
      </c>
      <c r="C8036" s="5" t="s">
        <v>11</v>
      </c>
      <c r="D8036" s="5" t="s">
        <v>12</v>
      </c>
      <c r="E8036" s="5" t="s">
        <v>3962</v>
      </c>
    </row>
    <row r="8037" spans="1:5" x14ac:dyDescent="0.25">
      <c r="A8037" s="5">
        <f>8029</f>
      </c>
      <c r="B8037" s="5" t="s">
        <v>7279</v>
      </c>
      <c r="C8037" s="5" t="s">
        <v>11</v>
      </c>
      <c r="D8037" s="5" t="s">
        <v>12</v>
      </c>
      <c r="E8037" s="5" t="s">
        <v>3962</v>
      </c>
    </row>
    <row r="8038" spans="1:5" x14ac:dyDescent="0.25">
      <c r="A8038" s="5">
        <f>8030</f>
      </c>
      <c r="B8038" s="5" t="s">
        <v>7280</v>
      </c>
      <c r="C8038" s="5" t="s">
        <v>11</v>
      </c>
      <c r="D8038" s="5" t="s">
        <v>12</v>
      </c>
      <c r="E8038" s="5" t="s">
        <v>3962</v>
      </c>
    </row>
    <row r="8039" spans="1:5" x14ac:dyDescent="0.25">
      <c r="A8039" s="5">
        <f>8031</f>
      </c>
      <c r="B8039" s="5" t="s">
        <v>7281</v>
      </c>
      <c r="C8039" s="5" t="s">
        <v>11</v>
      </c>
      <c r="D8039" s="5" t="s">
        <v>12</v>
      </c>
      <c r="E8039" s="5" t="s">
        <v>3962</v>
      </c>
    </row>
    <row r="8040" spans="1:5" x14ac:dyDescent="0.25">
      <c r="A8040" s="5">
        <f>8032</f>
      </c>
      <c r="B8040" s="5" t="s">
        <v>7282</v>
      </c>
      <c r="C8040" s="5" t="s">
        <v>11</v>
      </c>
      <c r="D8040" s="5" t="s">
        <v>12</v>
      </c>
      <c r="E8040" s="5" t="s">
        <v>3962</v>
      </c>
    </row>
    <row r="8041" spans="1:5" x14ac:dyDescent="0.25">
      <c r="A8041" s="5">
        <f>8033</f>
      </c>
      <c r="B8041" s="5" t="s">
        <v>7283</v>
      </c>
      <c r="C8041" s="5" t="s">
        <v>11</v>
      </c>
      <c r="D8041" s="5" t="s">
        <v>12</v>
      </c>
      <c r="E8041" s="5" t="s">
        <v>3962</v>
      </c>
    </row>
    <row r="8042" spans="1:5" x14ac:dyDescent="0.25">
      <c r="A8042" s="5">
        <f>8034</f>
      </c>
      <c r="B8042" s="5" t="s">
        <v>7284</v>
      </c>
      <c r="C8042" s="5" t="s">
        <v>11</v>
      </c>
      <c r="D8042" s="5" t="s">
        <v>12</v>
      </c>
      <c r="E8042" s="5" t="s">
        <v>3962</v>
      </c>
    </row>
    <row r="8043" spans="1:5" x14ac:dyDescent="0.25">
      <c r="A8043" s="5">
        <f>8035</f>
      </c>
      <c r="B8043" s="5" t="s">
        <v>7285</v>
      </c>
      <c r="C8043" s="5" t="s">
        <v>11</v>
      </c>
      <c r="D8043" s="5" t="s">
        <v>12</v>
      </c>
      <c r="E8043" s="5" t="s">
        <v>3962</v>
      </c>
    </row>
    <row r="8044" spans="1:5" x14ac:dyDescent="0.25">
      <c r="A8044" s="5">
        <f>8036</f>
      </c>
      <c r="B8044" s="5" t="s">
        <v>7286</v>
      </c>
      <c r="C8044" s="5" t="s">
        <v>11</v>
      </c>
      <c r="D8044" s="5" t="s">
        <v>12</v>
      </c>
      <c r="E8044" s="5" t="s">
        <v>3962</v>
      </c>
    </row>
    <row r="8045" spans="1:5" x14ac:dyDescent="0.25">
      <c r="A8045" s="5">
        <f>8037</f>
      </c>
      <c r="B8045" s="5" t="s">
        <v>7287</v>
      </c>
      <c r="C8045" s="5" t="s">
        <v>11</v>
      </c>
      <c r="D8045" s="5" t="s">
        <v>12</v>
      </c>
      <c r="E8045" s="5" t="s">
        <v>3962</v>
      </c>
    </row>
    <row r="8046" spans="1:5" x14ac:dyDescent="0.25">
      <c r="A8046" s="5">
        <f>8038</f>
      </c>
      <c r="B8046" s="5" t="s">
        <v>7288</v>
      </c>
      <c r="C8046" s="5" t="s">
        <v>11</v>
      </c>
      <c r="D8046" s="5" t="s">
        <v>12</v>
      </c>
      <c r="E8046" s="5" t="s">
        <v>3962</v>
      </c>
    </row>
    <row r="8047" spans="1:5" x14ac:dyDescent="0.25">
      <c r="A8047" s="5">
        <f>8039</f>
      </c>
      <c r="B8047" s="5" t="s">
        <v>7289</v>
      </c>
      <c r="C8047" s="5" t="s">
        <v>11</v>
      </c>
      <c r="D8047" s="5" t="s">
        <v>12</v>
      </c>
      <c r="E8047" s="5" t="s">
        <v>3962</v>
      </c>
    </row>
    <row r="8048" spans="1:5" x14ac:dyDescent="0.25">
      <c r="A8048" s="5">
        <f>8040</f>
      </c>
      <c r="B8048" s="5" t="s">
        <v>7290</v>
      </c>
      <c r="C8048" s="5" t="s">
        <v>11</v>
      </c>
      <c r="D8048" s="5" t="s">
        <v>12</v>
      </c>
      <c r="E8048" s="5" t="s">
        <v>3962</v>
      </c>
    </row>
    <row r="8049" spans="1:5" x14ac:dyDescent="0.25">
      <c r="A8049" s="5">
        <f>8041</f>
      </c>
      <c r="B8049" s="5" t="s">
        <v>7291</v>
      </c>
      <c r="C8049" s="5" t="s">
        <v>11</v>
      </c>
      <c r="D8049" s="5" t="s">
        <v>12</v>
      </c>
      <c r="E8049" s="5" t="s">
        <v>3962</v>
      </c>
    </row>
    <row r="8050" spans="1:5" x14ac:dyDescent="0.25">
      <c r="A8050" s="5">
        <f>8042</f>
      </c>
      <c r="B8050" s="5" t="s">
        <v>7292</v>
      </c>
      <c r="C8050" s="5" t="s">
        <v>11</v>
      </c>
      <c r="D8050" s="5" t="s">
        <v>12</v>
      </c>
      <c r="E8050" s="5" t="s">
        <v>3962</v>
      </c>
    </row>
    <row r="8051" spans="1:5" x14ac:dyDescent="0.25">
      <c r="A8051" s="5">
        <f>8043</f>
      </c>
      <c r="B8051" s="5" t="s">
        <v>7293</v>
      </c>
      <c r="C8051" s="5" t="s">
        <v>11</v>
      </c>
      <c r="D8051" s="5" t="s">
        <v>12</v>
      </c>
      <c r="E8051" s="5" t="s">
        <v>3962</v>
      </c>
    </row>
    <row r="8052" spans="1:5" x14ac:dyDescent="0.25">
      <c r="A8052" s="5">
        <f>8044</f>
      </c>
      <c r="B8052" s="5" t="s">
        <v>7294</v>
      </c>
      <c r="C8052" s="5" t="s">
        <v>11</v>
      </c>
      <c r="D8052" s="5" t="s">
        <v>12</v>
      </c>
      <c r="E8052" s="5" t="s">
        <v>3962</v>
      </c>
    </row>
    <row r="8053" spans="1:5" x14ac:dyDescent="0.25">
      <c r="A8053" s="5">
        <f>8045</f>
      </c>
      <c r="B8053" s="5" t="s">
        <v>7295</v>
      </c>
      <c r="C8053" s="5" t="s">
        <v>11</v>
      </c>
      <c r="D8053" s="5" t="s">
        <v>12</v>
      </c>
      <c r="E8053" s="5" t="s">
        <v>3962</v>
      </c>
    </row>
    <row r="8054" spans="1:5" x14ac:dyDescent="0.25">
      <c r="A8054" s="5">
        <f>8046</f>
      </c>
      <c r="B8054" s="5" t="s">
        <v>7296</v>
      </c>
      <c r="C8054" s="5" t="s">
        <v>11</v>
      </c>
      <c r="D8054" s="5" t="s">
        <v>12</v>
      </c>
      <c r="E8054" s="5" t="s">
        <v>3962</v>
      </c>
    </row>
    <row r="8055" spans="1:5" x14ac:dyDescent="0.25">
      <c r="A8055" s="5">
        <f>8047</f>
      </c>
      <c r="B8055" s="5" t="s">
        <v>7297</v>
      </c>
      <c r="C8055" s="5" t="s">
        <v>11</v>
      </c>
      <c r="D8055" s="5" t="s">
        <v>12</v>
      </c>
      <c r="E8055" s="5" t="s">
        <v>3962</v>
      </c>
    </row>
    <row r="8056" spans="1:5" x14ac:dyDescent="0.25">
      <c r="A8056" s="5">
        <f>8048</f>
      </c>
      <c r="B8056" s="5" t="s">
        <v>7298</v>
      </c>
      <c r="C8056" s="5" t="s">
        <v>11</v>
      </c>
      <c r="D8056" s="5" t="s">
        <v>12</v>
      </c>
      <c r="E8056" s="5" t="s">
        <v>3962</v>
      </c>
    </row>
    <row r="8057" spans="1:5" x14ac:dyDescent="0.25">
      <c r="A8057" s="5">
        <f>8049</f>
      </c>
      <c r="B8057" s="5" t="s">
        <v>7299</v>
      </c>
      <c r="C8057" s="5" t="s">
        <v>11</v>
      </c>
      <c r="D8057" s="5" t="s">
        <v>12</v>
      </c>
      <c r="E8057" s="5" t="s">
        <v>3962</v>
      </c>
    </row>
    <row r="8058" spans="1:5" x14ac:dyDescent="0.25">
      <c r="A8058" s="5">
        <f>8050</f>
      </c>
      <c r="B8058" s="5" t="s">
        <v>7300</v>
      </c>
      <c r="C8058" s="5" t="s">
        <v>11</v>
      </c>
      <c r="D8058" s="5" t="s">
        <v>12</v>
      </c>
      <c r="E8058" s="5" t="s">
        <v>3962</v>
      </c>
    </row>
    <row r="8059" spans="1:5" x14ac:dyDescent="0.25">
      <c r="A8059" s="5">
        <f>8051</f>
      </c>
      <c r="B8059" s="5" t="s">
        <v>7301</v>
      </c>
      <c r="C8059" s="5" t="s">
        <v>11</v>
      </c>
      <c r="D8059" s="5" t="s">
        <v>12</v>
      </c>
      <c r="E8059" s="5" t="s">
        <v>3962</v>
      </c>
    </row>
    <row r="8060" spans="1:5" x14ac:dyDescent="0.25">
      <c r="A8060" s="5">
        <f>8052</f>
      </c>
      <c r="B8060" s="5" t="s">
        <v>7302</v>
      </c>
      <c r="C8060" s="5" t="s">
        <v>11</v>
      </c>
      <c r="D8060" s="5" t="s">
        <v>12</v>
      </c>
      <c r="E8060" s="5" t="s">
        <v>3962</v>
      </c>
    </row>
    <row r="8061" spans="1:5" x14ac:dyDescent="0.25">
      <c r="A8061" s="5">
        <f>8053</f>
      </c>
      <c r="B8061" s="5" t="s">
        <v>7303</v>
      </c>
      <c r="C8061" s="5" t="s">
        <v>11</v>
      </c>
      <c r="D8061" s="5" t="s">
        <v>12</v>
      </c>
      <c r="E8061" s="5" t="s">
        <v>3962</v>
      </c>
    </row>
    <row r="8062" spans="1:5" x14ac:dyDescent="0.25">
      <c r="A8062" s="5">
        <f>8054</f>
      </c>
      <c r="B8062" s="5" t="s">
        <v>7304</v>
      </c>
      <c r="C8062" s="5" t="s">
        <v>11</v>
      </c>
      <c r="D8062" s="5" t="s">
        <v>12</v>
      </c>
      <c r="E8062" s="5" t="s">
        <v>3962</v>
      </c>
    </row>
    <row r="8063" spans="1:5" x14ac:dyDescent="0.25">
      <c r="A8063" s="5">
        <f>8055</f>
      </c>
      <c r="B8063" s="5" t="s">
        <v>7305</v>
      </c>
      <c r="C8063" s="5" t="s">
        <v>11</v>
      </c>
      <c r="D8063" s="5" t="s">
        <v>12</v>
      </c>
      <c r="E8063" s="5" t="s">
        <v>3962</v>
      </c>
    </row>
    <row r="8064" spans="1:5" x14ac:dyDescent="0.25">
      <c r="A8064" s="5">
        <f>8056</f>
      </c>
      <c r="B8064" s="5" t="s">
        <v>7306</v>
      </c>
      <c r="C8064" s="5" t="s">
        <v>11</v>
      </c>
      <c r="D8064" s="5" t="s">
        <v>12</v>
      </c>
      <c r="E8064" s="5" t="s">
        <v>3962</v>
      </c>
    </row>
    <row r="8065" spans="1:5" x14ac:dyDescent="0.25">
      <c r="A8065" s="5">
        <f>8057</f>
      </c>
      <c r="B8065" s="5" t="s">
        <v>7307</v>
      </c>
      <c r="C8065" s="5" t="s">
        <v>11</v>
      </c>
      <c r="D8065" s="5" t="s">
        <v>12</v>
      </c>
      <c r="E8065" s="5" t="s">
        <v>3962</v>
      </c>
    </row>
    <row r="8066" spans="1:5" x14ac:dyDescent="0.25">
      <c r="A8066" s="5">
        <f>8058</f>
      </c>
      <c r="B8066" s="5" t="s">
        <v>7308</v>
      </c>
      <c r="C8066" s="5" t="s">
        <v>11</v>
      </c>
      <c r="D8066" s="5" t="s">
        <v>12</v>
      </c>
      <c r="E8066" s="5" t="s">
        <v>3962</v>
      </c>
    </row>
    <row r="8067" spans="1:5" x14ac:dyDescent="0.25">
      <c r="A8067" s="5">
        <f>8059</f>
      </c>
      <c r="B8067" s="5" t="s">
        <v>7309</v>
      </c>
      <c r="C8067" s="5" t="s">
        <v>11</v>
      </c>
      <c r="D8067" s="5" t="s">
        <v>12</v>
      </c>
      <c r="E8067" s="5" t="s">
        <v>3962</v>
      </c>
    </row>
    <row r="8068" spans="1:5" x14ac:dyDescent="0.25">
      <c r="A8068" s="5">
        <f>8060</f>
      </c>
      <c r="B8068" s="5" t="s">
        <v>7310</v>
      </c>
      <c r="C8068" s="5" t="s">
        <v>11</v>
      </c>
      <c r="D8068" s="5" t="s">
        <v>12</v>
      </c>
      <c r="E8068" s="5" t="s">
        <v>3962</v>
      </c>
    </row>
    <row r="8069" spans="1:5" x14ac:dyDescent="0.25">
      <c r="A8069" s="5">
        <f>8061</f>
      </c>
      <c r="B8069" s="5" t="s">
        <v>7311</v>
      </c>
      <c r="C8069" s="5" t="s">
        <v>11</v>
      </c>
      <c r="D8069" s="5" t="s">
        <v>12</v>
      </c>
      <c r="E8069" s="5" t="s">
        <v>3962</v>
      </c>
    </row>
    <row r="8070" spans="1:5" x14ac:dyDescent="0.25">
      <c r="A8070" s="5">
        <f>8062</f>
      </c>
      <c r="B8070" s="5" t="s">
        <v>7312</v>
      </c>
      <c r="C8070" s="5" t="s">
        <v>11</v>
      </c>
      <c r="D8070" s="5" t="s">
        <v>12</v>
      </c>
      <c r="E8070" s="5" t="s">
        <v>3962</v>
      </c>
    </row>
    <row r="8071" spans="1:5" x14ac:dyDescent="0.25">
      <c r="A8071" s="5">
        <f>8063</f>
      </c>
      <c r="B8071" s="5" t="s">
        <v>7313</v>
      </c>
      <c r="C8071" s="5" t="s">
        <v>11</v>
      </c>
      <c r="D8071" s="5" t="s">
        <v>12</v>
      </c>
      <c r="E8071" s="5" t="s">
        <v>3962</v>
      </c>
    </row>
    <row r="8072" spans="1:5" x14ac:dyDescent="0.25">
      <c r="A8072" s="5">
        <f>8064</f>
      </c>
      <c r="B8072" s="5" t="s">
        <v>7314</v>
      </c>
      <c r="C8072" s="5" t="s">
        <v>11</v>
      </c>
      <c r="D8072" s="5" t="s">
        <v>12</v>
      </c>
      <c r="E8072" s="5" t="s">
        <v>3962</v>
      </c>
    </row>
    <row r="8073" spans="1:5" x14ac:dyDescent="0.25">
      <c r="A8073" s="5">
        <f>8065</f>
      </c>
      <c r="B8073" s="5" t="s">
        <v>7315</v>
      </c>
      <c r="C8073" s="5" t="s">
        <v>11</v>
      </c>
      <c r="D8073" s="5" t="s">
        <v>12</v>
      </c>
      <c r="E8073" s="5" t="s">
        <v>3962</v>
      </c>
    </row>
    <row r="8074" spans="1:5" x14ac:dyDescent="0.25">
      <c r="A8074" s="5">
        <f>8066</f>
      </c>
      <c r="B8074" s="5" t="s">
        <v>7316</v>
      </c>
      <c r="C8074" s="5" t="s">
        <v>11</v>
      </c>
      <c r="D8074" s="5" t="s">
        <v>12</v>
      </c>
      <c r="E8074" s="5" t="s">
        <v>3962</v>
      </c>
    </row>
    <row r="8075" spans="1:5" x14ac:dyDescent="0.25">
      <c r="A8075" s="5">
        <f>8067</f>
      </c>
      <c r="B8075" s="5" t="s">
        <v>7317</v>
      </c>
      <c r="C8075" s="5" t="s">
        <v>11</v>
      </c>
      <c r="D8075" s="5" t="s">
        <v>12</v>
      </c>
      <c r="E8075" s="5" t="s">
        <v>3962</v>
      </c>
    </row>
    <row r="8076" spans="1:5" x14ac:dyDescent="0.25">
      <c r="A8076" s="5">
        <f>8068</f>
      </c>
      <c r="B8076" s="5" t="s">
        <v>7318</v>
      </c>
      <c r="C8076" s="5" t="s">
        <v>11</v>
      </c>
      <c r="D8076" s="5" t="s">
        <v>12</v>
      </c>
      <c r="E8076" s="5" t="s">
        <v>3962</v>
      </c>
    </row>
    <row r="8077" spans="1:5" x14ac:dyDescent="0.25">
      <c r="A8077" s="5">
        <f>8069</f>
      </c>
      <c r="B8077" s="5" t="s">
        <v>7319</v>
      </c>
      <c r="C8077" s="5" t="s">
        <v>11</v>
      </c>
      <c r="D8077" s="5" t="s">
        <v>12</v>
      </c>
      <c r="E8077" s="5" t="s">
        <v>3962</v>
      </c>
    </row>
    <row r="8078" spans="1:5" x14ac:dyDescent="0.25">
      <c r="A8078" s="5">
        <f>8070</f>
      </c>
      <c r="B8078" s="5" t="s">
        <v>7320</v>
      </c>
      <c r="C8078" s="5" t="s">
        <v>11</v>
      </c>
      <c r="D8078" s="5" t="s">
        <v>12</v>
      </c>
      <c r="E8078" s="5" t="s">
        <v>3962</v>
      </c>
    </row>
    <row r="8079" spans="1:5" x14ac:dyDescent="0.25">
      <c r="A8079" s="5">
        <f>8071</f>
      </c>
      <c r="B8079" s="5" t="s">
        <v>7321</v>
      </c>
      <c r="C8079" s="5" t="s">
        <v>11</v>
      </c>
      <c r="D8079" s="5" t="s">
        <v>12</v>
      </c>
      <c r="E8079" s="5" t="s">
        <v>3962</v>
      </c>
    </row>
    <row r="8080" spans="1:5" x14ac:dyDescent="0.25">
      <c r="A8080" s="5">
        <f>8072</f>
      </c>
      <c r="B8080" s="5" t="s">
        <v>7322</v>
      </c>
      <c r="C8080" s="5" t="s">
        <v>11</v>
      </c>
      <c r="D8080" s="5" t="s">
        <v>12</v>
      </c>
      <c r="E8080" s="5" t="s">
        <v>3962</v>
      </c>
    </row>
    <row r="8081" spans="1:5" x14ac:dyDescent="0.25">
      <c r="A8081" s="5">
        <f>8073</f>
      </c>
      <c r="B8081" s="5" t="s">
        <v>7323</v>
      </c>
      <c r="C8081" s="5" t="s">
        <v>11</v>
      </c>
      <c r="D8081" s="5" t="s">
        <v>12</v>
      </c>
      <c r="E8081" s="5" t="s">
        <v>3962</v>
      </c>
    </row>
    <row r="8082" spans="1:5" x14ac:dyDescent="0.25">
      <c r="A8082" s="5">
        <f>8074</f>
      </c>
      <c r="B8082" s="5" t="s">
        <v>7324</v>
      </c>
      <c r="C8082" s="5" t="s">
        <v>11</v>
      </c>
      <c r="D8082" s="5" t="s">
        <v>12</v>
      </c>
      <c r="E8082" s="5" t="s">
        <v>3962</v>
      </c>
    </row>
    <row r="8083" spans="1:5" x14ac:dyDescent="0.25">
      <c r="A8083" s="5">
        <f>8075</f>
      </c>
      <c r="B8083" s="5" t="s">
        <v>7325</v>
      </c>
      <c r="C8083" s="5" t="s">
        <v>11</v>
      </c>
      <c r="D8083" s="5" t="s">
        <v>12</v>
      </c>
      <c r="E8083" s="5" t="s">
        <v>3962</v>
      </c>
    </row>
    <row r="8084" spans="1:5" x14ac:dyDescent="0.25">
      <c r="A8084" s="5">
        <f>8076</f>
      </c>
      <c r="B8084" s="5" t="s">
        <v>7326</v>
      </c>
      <c r="C8084" s="5" t="s">
        <v>11</v>
      </c>
      <c r="D8084" s="5" t="s">
        <v>12</v>
      </c>
      <c r="E8084" s="5" t="s">
        <v>3962</v>
      </c>
    </row>
    <row r="8085" spans="1:5" x14ac:dyDescent="0.25">
      <c r="A8085" s="5">
        <f>8077</f>
      </c>
      <c r="B8085" s="5" t="s">
        <v>7327</v>
      </c>
      <c r="C8085" s="5" t="s">
        <v>11</v>
      </c>
      <c r="D8085" s="5" t="s">
        <v>12</v>
      </c>
      <c r="E8085" s="5" t="s">
        <v>3962</v>
      </c>
    </row>
    <row r="8086" spans="1:5" x14ac:dyDescent="0.25">
      <c r="A8086" s="5">
        <f>8078</f>
      </c>
      <c r="B8086" s="5" t="s">
        <v>7328</v>
      </c>
      <c r="C8086" s="5" t="s">
        <v>11</v>
      </c>
      <c r="D8086" s="5" t="s">
        <v>12</v>
      </c>
      <c r="E8086" s="5" t="s">
        <v>3962</v>
      </c>
    </row>
    <row r="8087" spans="1:5" x14ac:dyDescent="0.25">
      <c r="A8087" s="5">
        <f>8079</f>
      </c>
      <c r="B8087" s="5" t="s">
        <v>7329</v>
      </c>
      <c r="C8087" s="5" t="s">
        <v>11</v>
      </c>
      <c r="D8087" s="5" t="s">
        <v>12</v>
      </c>
      <c r="E8087" s="5" t="s">
        <v>3962</v>
      </c>
    </row>
    <row r="8088" spans="1:5" x14ac:dyDescent="0.25">
      <c r="A8088" s="5">
        <f>8080</f>
      </c>
      <c r="B8088" s="5" t="s">
        <v>7330</v>
      </c>
      <c r="C8088" s="5" t="s">
        <v>11</v>
      </c>
      <c r="D8088" s="5" t="s">
        <v>12</v>
      </c>
      <c r="E8088" s="5" t="s">
        <v>3962</v>
      </c>
    </row>
    <row r="8089" spans="1:5" x14ac:dyDescent="0.25">
      <c r="A8089" s="5">
        <f>8081</f>
      </c>
      <c r="B8089" s="5" t="s">
        <v>7331</v>
      </c>
      <c r="C8089" s="5" t="s">
        <v>11</v>
      </c>
      <c r="D8089" s="5" t="s">
        <v>12</v>
      </c>
      <c r="E8089" s="5" t="s">
        <v>3962</v>
      </c>
    </row>
    <row r="8090" spans="1:5" x14ac:dyDescent="0.25">
      <c r="A8090" s="5">
        <f>8082</f>
      </c>
      <c r="B8090" s="5" t="s">
        <v>7332</v>
      </c>
      <c r="C8090" s="5" t="s">
        <v>11</v>
      </c>
      <c r="D8090" s="5" t="s">
        <v>12</v>
      </c>
      <c r="E8090" s="5" t="s">
        <v>3962</v>
      </c>
    </row>
    <row r="8091" spans="1:5" x14ac:dyDescent="0.25">
      <c r="A8091" s="5">
        <f>8083</f>
      </c>
      <c r="B8091" s="5" t="s">
        <v>7333</v>
      </c>
      <c r="C8091" s="5" t="s">
        <v>11</v>
      </c>
      <c r="D8091" s="5" t="s">
        <v>12</v>
      </c>
      <c r="E8091" s="5" t="s">
        <v>3962</v>
      </c>
    </row>
    <row r="8092" spans="1:5" x14ac:dyDescent="0.25">
      <c r="A8092" s="5">
        <f>8084</f>
      </c>
      <c r="B8092" s="5" t="s">
        <v>7334</v>
      </c>
      <c r="C8092" s="5" t="s">
        <v>11</v>
      </c>
      <c r="D8092" s="5" t="s">
        <v>12</v>
      </c>
      <c r="E8092" s="5" t="s">
        <v>3962</v>
      </c>
    </row>
    <row r="8093" spans="1:5" x14ac:dyDescent="0.25">
      <c r="A8093" s="5">
        <f>8085</f>
      </c>
      <c r="B8093" s="5" t="s">
        <v>7335</v>
      </c>
      <c r="C8093" s="5" t="s">
        <v>11</v>
      </c>
      <c r="D8093" s="5" t="s">
        <v>12</v>
      </c>
      <c r="E8093" s="5" t="s">
        <v>3962</v>
      </c>
    </row>
    <row r="8094" spans="1:5" x14ac:dyDescent="0.25">
      <c r="A8094" s="5">
        <f>8086</f>
      </c>
      <c r="B8094" s="5" t="s">
        <v>7336</v>
      </c>
      <c r="C8094" s="5" t="s">
        <v>11</v>
      </c>
      <c r="D8094" s="5" t="s">
        <v>12</v>
      </c>
      <c r="E8094" s="5" t="s">
        <v>3962</v>
      </c>
    </row>
    <row r="8095" spans="1:5" x14ac:dyDescent="0.25">
      <c r="A8095" s="5">
        <f>8087</f>
      </c>
      <c r="B8095" s="5" t="s">
        <v>7337</v>
      </c>
      <c r="C8095" s="5" t="s">
        <v>11</v>
      </c>
      <c r="D8095" s="5" t="s">
        <v>12</v>
      </c>
      <c r="E8095" s="5" t="s">
        <v>3962</v>
      </c>
    </row>
    <row r="8096" spans="1:5" x14ac:dyDescent="0.25">
      <c r="A8096" s="5">
        <f>8088</f>
      </c>
      <c r="B8096" s="5" t="s">
        <v>7338</v>
      </c>
      <c r="C8096" s="5" t="s">
        <v>11</v>
      </c>
      <c r="D8096" s="5" t="s">
        <v>12</v>
      </c>
      <c r="E8096" s="5" t="s">
        <v>3962</v>
      </c>
    </row>
    <row r="8097" spans="1:5" x14ac:dyDescent="0.25">
      <c r="A8097" s="5">
        <f>8089</f>
      </c>
      <c r="B8097" s="5" t="s">
        <v>7339</v>
      </c>
      <c r="C8097" s="5" t="s">
        <v>11</v>
      </c>
      <c r="D8097" s="5" t="s">
        <v>12</v>
      </c>
      <c r="E8097" s="5" t="s">
        <v>3962</v>
      </c>
    </row>
    <row r="8098" spans="1:5" x14ac:dyDescent="0.25">
      <c r="A8098" s="5">
        <f>8090</f>
      </c>
      <c r="B8098" s="5" t="s">
        <v>7340</v>
      </c>
      <c r="C8098" s="5" t="s">
        <v>11</v>
      </c>
      <c r="D8098" s="5" t="s">
        <v>12</v>
      </c>
      <c r="E8098" s="5" t="s">
        <v>3962</v>
      </c>
    </row>
    <row r="8099" spans="1:5" x14ac:dyDescent="0.25">
      <c r="A8099" s="5">
        <f>8091</f>
      </c>
      <c r="B8099" s="5" t="s">
        <v>7341</v>
      </c>
      <c r="C8099" s="5" t="s">
        <v>11</v>
      </c>
      <c r="D8099" s="5" t="s">
        <v>12</v>
      </c>
      <c r="E8099" s="5" t="s">
        <v>3962</v>
      </c>
    </row>
    <row r="8100" spans="1:5" x14ac:dyDescent="0.25">
      <c r="A8100" s="5">
        <f>8092</f>
      </c>
      <c r="B8100" s="5" t="s">
        <v>7342</v>
      </c>
      <c r="C8100" s="5" t="s">
        <v>11</v>
      </c>
      <c r="D8100" s="5" t="s">
        <v>12</v>
      </c>
      <c r="E8100" s="5" t="s">
        <v>3962</v>
      </c>
    </row>
    <row r="8101" spans="1:5" x14ac:dyDescent="0.25">
      <c r="A8101" s="5">
        <f>8093</f>
      </c>
      <c r="B8101" s="5" t="s">
        <v>7343</v>
      </c>
      <c r="C8101" s="5" t="s">
        <v>11</v>
      </c>
      <c r="D8101" s="5" t="s">
        <v>12</v>
      </c>
      <c r="E8101" s="5" t="s">
        <v>3962</v>
      </c>
    </row>
    <row r="8102" spans="1:5" x14ac:dyDescent="0.25">
      <c r="A8102" s="5">
        <f>8094</f>
      </c>
      <c r="B8102" s="5" t="s">
        <v>7344</v>
      </c>
      <c r="C8102" s="5" t="s">
        <v>11</v>
      </c>
      <c r="D8102" s="5" t="s">
        <v>12</v>
      </c>
      <c r="E8102" s="5" t="s">
        <v>3962</v>
      </c>
    </row>
    <row r="8103" spans="1:5" x14ac:dyDescent="0.25">
      <c r="A8103" s="5">
        <f>8095</f>
      </c>
      <c r="B8103" s="5" t="s">
        <v>7345</v>
      </c>
      <c r="C8103" s="5" t="s">
        <v>11</v>
      </c>
      <c r="D8103" s="5" t="s">
        <v>12</v>
      </c>
      <c r="E8103" s="5" t="s">
        <v>3962</v>
      </c>
    </row>
    <row r="8104" spans="1:5" x14ac:dyDescent="0.25">
      <c r="A8104" s="5">
        <f>8096</f>
      </c>
      <c r="B8104" s="5" t="s">
        <v>7346</v>
      </c>
      <c r="C8104" s="5" t="s">
        <v>11</v>
      </c>
      <c r="D8104" s="5" t="s">
        <v>12</v>
      </c>
      <c r="E8104" s="5" t="s">
        <v>3962</v>
      </c>
    </row>
    <row r="8105" spans="1:5" x14ac:dyDescent="0.25">
      <c r="A8105" s="5">
        <f>8097</f>
      </c>
      <c r="B8105" s="5" t="s">
        <v>7347</v>
      </c>
      <c r="C8105" s="5" t="s">
        <v>11</v>
      </c>
      <c r="D8105" s="5" t="s">
        <v>12</v>
      </c>
      <c r="E8105" s="5" t="s">
        <v>3962</v>
      </c>
    </row>
    <row r="8106" spans="1:5" x14ac:dyDescent="0.25">
      <c r="A8106" s="5">
        <f>8098</f>
      </c>
      <c r="B8106" s="5" t="s">
        <v>7348</v>
      </c>
      <c r="C8106" s="5" t="s">
        <v>11</v>
      </c>
      <c r="D8106" s="5" t="s">
        <v>12</v>
      </c>
      <c r="E8106" s="5" t="s">
        <v>3962</v>
      </c>
    </row>
    <row r="8107" spans="1:5" x14ac:dyDescent="0.25">
      <c r="A8107" s="5">
        <f>8099</f>
      </c>
      <c r="B8107" s="5" t="s">
        <v>7349</v>
      </c>
      <c r="C8107" s="5" t="s">
        <v>11</v>
      </c>
      <c r="D8107" s="5" t="s">
        <v>12</v>
      </c>
      <c r="E8107" s="5" t="s">
        <v>3962</v>
      </c>
    </row>
    <row r="8108" spans="1:5" x14ac:dyDescent="0.25">
      <c r="A8108" s="5">
        <f>8100</f>
      </c>
      <c r="B8108" s="5" t="s">
        <v>7350</v>
      </c>
      <c r="C8108" s="5" t="s">
        <v>11</v>
      </c>
      <c r="D8108" s="5" t="s">
        <v>12</v>
      </c>
      <c r="E8108" s="5" t="s">
        <v>3962</v>
      </c>
    </row>
    <row r="8109" spans="1:5" x14ac:dyDescent="0.25">
      <c r="A8109" s="5">
        <f>8101</f>
      </c>
      <c r="B8109" s="5" t="s">
        <v>7351</v>
      </c>
      <c r="C8109" s="5" t="s">
        <v>11</v>
      </c>
      <c r="D8109" s="5" t="s">
        <v>12</v>
      </c>
      <c r="E8109" s="5" t="s">
        <v>3962</v>
      </c>
    </row>
    <row r="8110" spans="1:5" x14ac:dyDescent="0.25">
      <c r="A8110" s="5">
        <f>8102</f>
      </c>
      <c r="B8110" s="5" t="s">
        <v>7352</v>
      </c>
      <c r="C8110" s="5" t="s">
        <v>11</v>
      </c>
      <c r="D8110" s="5" t="s">
        <v>12</v>
      </c>
      <c r="E8110" s="5" t="s">
        <v>3962</v>
      </c>
    </row>
    <row r="8111" spans="1:5" x14ac:dyDescent="0.25">
      <c r="A8111" s="5">
        <f>8103</f>
      </c>
      <c r="B8111" s="5" t="s">
        <v>7353</v>
      </c>
      <c r="C8111" s="5" t="s">
        <v>11</v>
      </c>
      <c r="D8111" s="5" t="s">
        <v>12</v>
      </c>
      <c r="E8111" s="5" t="s">
        <v>3962</v>
      </c>
    </row>
    <row r="8112" spans="1:5" x14ac:dyDescent="0.25">
      <c r="A8112" s="5">
        <f>8104</f>
      </c>
      <c r="B8112" s="5" t="s">
        <v>7354</v>
      </c>
      <c r="C8112" s="5" t="s">
        <v>11</v>
      </c>
      <c r="D8112" s="5" t="s">
        <v>12</v>
      </c>
      <c r="E8112" s="5" t="s">
        <v>3962</v>
      </c>
    </row>
    <row r="8113" spans="1:5" x14ac:dyDescent="0.25">
      <c r="A8113" s="5">
        <f>8105</f>
      </c>
      <c r="B8113" s="5" t="s">
        <v>7355</v>
      </c>
      <c r="C8113" s="5" t="s">
        <v>11</v>
      </c>
      <c r="D8113" s="5" t="s">
        <v>12</v>
      </c>
      <c r="E8113" s="5" t="s">
        <v>3962</v>
      </c>
    </row>
    <row r="8114" spans="1:5" x14ac:dyDescent="0.25">
      <c r="A8114" s="5">
        <f>8106</f>
      </c>
      <c r="B8114" s="5" t="s">
        <v>7356</v>
      </c>
      <c r="C8114" s="5" t="s">
        <v>11</v>
      </c>
      <c r="D8114" s="5" t="s">
        <v>12</v>
      </c>
      <c r="E8114" s="5" t="s">
        <v>3962</v>
      </c>
    </row>
    <row r="8115" spans="1:5" x14ac:dyDescent="0.25">
      <c r="A8115" s="5">
        <f>8107</f>
      </c>
      <c r="B8115" s="5" t="s">
        <v>7357</v>
      </c>
      <c r="C8115" s="5" t="s">
        <v>11</v>
      </c>
      <c r="D8115" s="5" t="s">
        <v>12</v>
      </c>
      <c r="E8115" s="5" t="s">
        <v>3962</v>
      </c>
    </row>
    <row r="8116" spans="1:5" x14ac:dyDescent="0.25">
      <c r="A8116" s="5">
        <f>8108</f>
      </c>
      <c r="B8116" s="5" t="s">
        <v>7358</v>
      </c>
      <c r="C8116" s="5" t="s">
        <v>11</v>
      </c>
      <c r="D8116" s="5" t="s">
        <v>12</v>
      </c>
      <c r="E8116" s="5" t="s">
        <v>3962</v>
      </c>
    </row>
    <row r="8117" spans="1:5" x14ac:dyDescent="0.25">
      <c r="A8117" s="5">
        <f>8109</f>
      </c>
      <c r="B8117" s="5" t="s">
        <v>7359</v>
      </c>
      <c r="C8117" s="5" t="s">
        <v>11</v>
      </c>
      <c r="D8117" s="5" t="s">
        <v>12</v>
      </c>
      <c r="E8117" s="5" t="s">
        <v>3962</v>
      </c>
    </row>
    <row r="8118" spans="1:5" x14ac:dyDescent="0.25">
      <c r="A8118" s="5">
        <f>8110</f>
      </c>
      <c r="B8118" s="5" t="s">
        <v>7360</v>
      </c>
      <c r="C8118" s="5" t="s">
        <v>11</v>
      </c>
      <c r="D8118" s="5" t="s">
        <v>12</v>
      </c>
      <c r="E8118" s="5" t="s">
        <v>3962</v>
      </c>
    </row>
    <row r="8119" spans="1:5" x14ac:dyDescent="0.25">
      <c r="A8119" s="5">
        <f>8111</f>
      </c>
      <c r="B8119" s="5" t="s">
        <v>7361</v>
      </c>
      <c r="C8119" s="5" t="s">
        <v>11</v>
      </c>
      <c r="D8119" s="5" t="s">
        <v>12</v>
      </c>
      <c r="E8119" s="5" t="s">
        <v>3962</v>
      </c>
    </row>
    <row r="8120" spans="1:5" x14ac:dyDescent="0.25">
      <c r="A8120" s="5">
        <f>8112</f>
      </c>
      <c r="B8120" s="5" t="s">
        <v>7362</v>
      </c>
      <c r="C8120" s="5" t="s">
        <v>11</v>
      </c>
      <c r="D8120" s="5" t="s">
        <v>12</v>
      </c>
      <c r="E8120" s="5" t="s">
        <v>3962</v>
      </c>
    </row>
    <row r="8121" spans="1:5" x14ac:dyDescent="0.25">
      <c r="A8121" s="5">
        <f>8113</f>
      </c>
      <c r="B8121" s="5" t="s">
        <v>7363</v>
      </c>
      <c r="C8121" s="5" t="s">
        <v>11</v>
      </c>
      <c r="D8121" s="5" t="s">
        <v>12</v>
      </c>
      <c r="E8121" s="5" t="s">
        <v>3962</v>
      </c>
    </row>
    <row r="8122" spans="1:5" x14ac:dyDescent="0.25">
      <c r="A8122" s="5">
        <f>8114</f>
      </c>
      <c r="B8122" s="5" t="s">
        <v>7364</v>
      </c>
      <c r="C8122" s="5" t="s">
        <v>11</v>
      </c>
      <c r="D8122" s="5" t="s">
        <v>12</v>
      </c>
      <c r="E8122" s="5" t="s">
        <v>3962</v>
      </c>
    </row>
    <row r="8123" spans="1:5" x14ac:dyDescent="0.25">
      <c r="A8123" s="5">
        <f>8115</f>
      </c>
      <c r="B8123" s="5" t="s">
        <v>7365</v>
      </c>
      <c r="C8123" s="5" t="s">
        <v>11</v>
      </c>
      <c r="D8123" s="5" t="s">
        <v>12</v>
      </c>
      <c r="E8123" s="5" t="s">
        <v>3962</v>
      </c>
    </row>
    <row r="8124" spans="1:5" x14ac:dyDescent="0.25">
      <c r="A8124" s="5">
        <f>8116</f>
      </c>
      <c r="B8124" s="5" t="s">
        <v>7366</v>
      </c>
      <c r="C8124" s="5" t="s">
        <v>11</v>
      </c>
      <c r="D8124" s="5" t="s">
        <v>12</v>
      </c>
      <c r="E8124" s="5" t="s">
        <v>3962</v>
      </c>
    </row>
    <row r="8125" spans="1:5" x14ac:dyDescent="0.25">
      <c r="A8125" s="5">
        <f>8117</f>
      </c>
      <c r="B8125" s="5" t="s">
        <v>7367</v>
      </c>
      <c r="C8125" s="5" t="s">
        <v>11</v>
      </c>
      <c r="D8125" s="5" t="s">
        <v>12</v>
      </c>
      <c r="E8125" s="5" t="s">
        <v>3962</v>
      </c>
    </row>
    <row r="8126" spans="1:5" x14ac:dyDescent="0.25">
      <c r="A8126" s="5">
        <f>8118</f>
      </c>
      <c r="B8126" s="5" t="s">
        <v>7368</v>
      </c>
      <c r="C8126" s="5" t="s">
        <v>11</v>
      </c>
      <c r="D8126" s="5" t="s">
        <v>12</v>
      </c>
      <c r="E8126" s="5" t="s">
        <v>3962</v>
      </c>
    </row>
    <row r="8127" spans="1:5" x14ac:dyDescent="0.25">
      <c r="A8127" s="5">
        <f>8119</f>
      </c>
      <c r="B8127" s="5" t="s">
        <v>7369</v>
      </c>
      <c r="C8127" s="5" t="s">
        <v>11</v>
      </c>
      <c r="D8127" s="5" t="s">
        <v>12</v>
      </c>
      <c r="E8127" s="5" t="s">
        <v>3962</v>
      </c>
    </row>
    <row r="8128" spans="1:5" x14ac:dyDescent="0.25">
      <c r="A8128" s="5">
        <f>8120</f>
      </c>
      <c r="B8128" s="5" t="s">
        <v>7370</v>
      </c>
      <c r="C8128" s="5" t="s">
        <v>11</v>
      </c>
      <c r="D8128" s="5" t="s">
        <v>12</v>
      </c>
      <c r="E8128" s="5" t="s">
        <v>3962</v>
      </c>
    </row>
    <row r="8129" spans="1:5" x14ac:dyDescent="0.25">
      <c r="A8129" s="5">
        <f>8121</f>
      </c>
      <c r="B8129" s="5" t="s">
        <v>7371</v>
      </c>
      <c r="C8129" s="5" t="s">
        <v>11</v>
      </c>
      <c r="D8129" s="5" t="s">
        <v>12</v>
      </c>
      <c r="E8129" s="5" t="s">
        <v>3962</v>
      </c>
    </row>
    <row r="8130" spans="1:5" x14ac:dyDescent="0.25">
      <c r="A8130" s="5">
        <f>8122</f>
      </c>
      <c r="B8130" s="5" t="s">
        <v>7372</v>
      </c>
      <c r="C8130" s="5" t="s">
        <v>11</v>
      </c>
      <c r="D8130" s="5" t="s">
        <v>12</v>
      </c>
      <c r="E8130" s="5" t="s">
        <v>3962</v>
      </c>
    </row>
    <row r="8131" spans="1:5" x14ac:dyDescent="0.25">
      <c r="A8131" s="5">
        <f>8123</f>
      </c>
      <c r="B8131" s="5" t="s">
        <v>7373</v>
      </c>
      <c r="C8131" s="5" t="s">
        <v>11</v>
      </c>
      <c r="D8131" s="5" t="s">
        <v>12</v>
      </c>
      <c r="E8131" s="5" t="s">
        <v>3962</v>
      </c>
    </row>
    <row r="8132" spans="1:5" x14ac:dyDescent="0.25">
      <c r="A8132" s="5">
        <f>8124</f>
      </c>
      <c r="B8132" s="5" t="s">
        <v>7374</v>
      </c>
      <c r="C8132" s="5" t="s">
        <v>11</v>
      </c>
      <c r="D8132" s="5" t="s">
        <v>12</v>
      </c>
      <c r="E8132" s="5" t="s">
        <v>3962</v>
      </c>
    </row>
    <row r="8133" spans="1:5" x14ac:dyDescent="0.25">
      <c r="A8133" s="5">
        <f>8125</f>
      </c>
      <c r="B8133" s="5" t="s">
        <v>7375</v>
      </c>
      <c r="C8133" s="5" t="s">
        <v>11</v>
      </c>
      <c r="D8133" s="5" t="s">
        <v>12</v>
      </c>
      <c r="E8133" s="5" t="s">
        <v>3962</v>
      </c>
    </row>
    <row r="8134" spans="1:5" x14ac:dyDescent="0.25">
      <c r="A8134" s="5">
        <f>8126</f>
      </c>
      <c r="B8134" s="5" t="s">
        <v>7376</v>
      </c>
      <c r="C8134" s="5" t="s">
        <v>11</v>
      </c>
      <c r="D8134" s="5" t="s">
        <v>12</v>
      </c>
      <c r="E8134" s="5" t="s">
        <v>3962</v>
      </c>
    </row>
    <row r="8135" spans="1:5" x14ac:dyDescent="0.25">
      <c r="A8135" s="5">
        <f>8127</f>
      </c>
      <c r="B8135" s="5" t="s">
        <v>7377</v>
      </c>
      <c r="C8135" s="5" t="s">
        <v>11</v>
      </c>
      <c r="D8135" s="5" t="s">
        <v>12</v>
      </c>
      <c r="E8135" s="5" t="s">
        <v>3962</v>
      </c>
    </row>
    <row r="8136" spans="1:5" x14ac:dyDescent="0.25">
      <c r="A8136" s="5">
        <f>8128</f>
      </c>
      <c r="B8136" s="5" t="s">
        <v>7378</v>
      </c>
      <c r="C8136" s="5" t="s">
        <v>11</v>
      </c>
      <c r="D8136" s="5" t="s">
        <v>12</v>
      </c>
      <c r="E8136" s="5" t="s">
        <v>3962</v>
      </c>
    </row>
    <row r="8137" spans="1:5" x14ac:dyDescent="0.25">
      <c r="A8137" s="5">
        <f>8129</f>
      </c>
      <c r="B8137" s="5" t="s">
        <v>7379</v>
      </c>
      <c r="C8137" s="5" t="s">
        <v>11</v>
      </c>
      <c r="D8137" s="5" t="s">
        <v>12</v>
      </c>
      <c r="E8137" s="5" t="s">
        <v>3962</v>
      </c>
    </row>
    <row r="8138" spans="1:5" x14ac:dyDescent="0.25">
      <c r="A8138" s="5">
        <f>8130</f>
      </c>
      <c r="B8138" s="5" t="s">
        <v>7380</v>
      </c>
      <c r="C8138" s="5" t="s">
        <v>11</v>
      </c>
      <c r="D8138" s="5" t="s">
        <v>12</v>
      </c>
      <c r="E8138" s="5" t="s">
        <v>3962</v>
      </c>
    </row>
    <row r="8139" spans="1:5" x14ac:dyDescent="0.25">
      <c r="A8139" s="5">
        <f>8131</f>
      </c>
      <c r="B8139" s="5" t="s">
        <v>7381</v>
      </c>
      <c r="C8139" s="5" t="s">
        <v>11</v>
      </c>
      <c r="D8139" s="5" t="s">
        <v>12</v>
      </c>
      <c r="E8139" s="5" t="s">
        <v>3962</v>
      </c>
    </row>
    <row r="8140" spans="1:5" x14ac:dyDescent="0.25">
      <c r="A8140" s="5">
        <f>8132</f>
      </c>
      <c r="B8140" s="5" t="s">
        <v>7382</v>
      </c>
      <c r="C8140" s="5" t="s">
        <v>11</v>
      </c>
      <c r="D8140" s="5" t="s">
        <v>12</v>
      </c>
      <c r="E8140" s="5" t="s">
        <v>3962</v>
      </c>
    </row>
    <row r="8141" spans="1:5" x14ac:dyDescent="0.25">
      <c r="A8141" s="5">
        <f>8133</f>
      </c>
      <c r="B8141" s="5" t="s">
        <v>7383</v>
      </c>
      <c r="C8141" s="5" t="s">
        <v>11</v>
      </c>
      <c r="D8141" s="5" t="s">
        <v>12</v>
      </c>
      <c r="E8141" s="5" t="s">
        <v>3962</v>
      </c>
    </row>
    <row r="8142" spans="1:5" x14ac:dyDescent="0.25">
      <c r="A8142" s="5">
        <f>8134</f>
      </c>
      <c r="B8142" s="5" t="s">
        <v>7384</v>
      </c>
      <c r="C8142" s="5" t="s">
        <v>11</v>
      </c>
      <c r="D8142" s="5" t="s">
        <v>12</v>
      </c>
      <c r="E8142" s="5" t="s">
        <v>3962</v>
      </c>
    </row>
    <row r="8143" spans="1:5" x14ac:dyDescent="0.25">
      <c r="A8143" s="5">
        <f>8135</f>
      </c>
      <c r="B8143" s="5" t="s">
        <v>7385</v>
      </c>
      <c r="C8143" s="5" t="s">
        <v>11</v>
      </c>
      <c r="D8143" s="5" t="s">
        <v>12</v>
      </c>
      <c r="E8143" s="5" t="s">
        <v>3962</v>
      </c>
    </row>
    <row r="8144" spans="1:5" x14ac:dyDescent="0.25">
      <c r="A8144" s="5">
        <f>8136</f>
      </c>
      <c r="B8144" s="5" t="s">
        <v>7386</v>
      </c>
      <c r="C8144" s="5" t="s">
        <v>11</v>
      </c>
      <c r="D8144" s="5" t="s">
        <v>12</v>
      </c>
      <c r="E8144" s="5" t="s">
        <v>3962</v>
      </c>
    </row>
    <row r="8145" spans="1:5" x14ac:dyDescent="0.25">
      <c r="A8145" s="5">
        <f>8137</f>
      </c>
      <c r="B8145" s="5" t="s">
        <v>7387</v>
      </c>
      <c r="C8145" s="5" t="s">
        <v>11</v>
      </c>
      <c r="D8145" s="5" t="s">
        <v>12</v>
      </c>
      <c r="E8145" s="5" t="s">
        <v>3962</v>
      </c>
    </row>
    <row r="8146" spans="1:5" x14ac:dyDescent="0.25">
      <c r="A8146" s="5">
        <f>8138</f>
      </c>
      <c r="B8146" s="5" t="s">
        <v>7388</v>
      </c>
      <c r="C8146" s="5" t="s">
        <v>11</v>
      </c>
      <c r="D8146" s="5" t="s">
        <v>12</v>
      </c>
      <c r="E8146" s="5" t="s">
        <v>3962</v>
      </c>
    </row>
    <row r="8147" spans="1:5" x14ac:dyDescent="0.25">
      <c r="A8147" s="5">
        <f>8139</f>
      </c>
      <c r="B8147" s="5" t="s">
        <v>7389</v>
      </c>
      <c r="C8147" s="5" t="s">
        <v>11</v>
      </c>
      <c r="D8147" s="5" t="s">
        <v>12</v>
      </c>
      <c r="E8147" s="5" t="s">
        <v>3962</v>
      </c>
    </row>
    <row r="8148" spans="1:5" x14ac:dyDescent="0.25">
      <c r="A8148" s="5">
        <f>8140</f>
      </c>
      <c r="B8148" s="5" t="s">
        <v>7390</v>
      </c>
      <c r="C8148" s="5" t="s">
        <v>11</v>
      </c>
      <c r="D8148" s="5" t="s">
        <v>12</v>
      </c>
      <c r="E8148" s="5" t="s">
        <v>3962</v>
      </c>
    </row>
    <row r="8149" spans="1:5" x14ac:dyDescent="0.25">
      <c r="A8149" s="5">
        <f>8141</f>
      </c>
      <c r="B8149" s="5" t="s">
        <v>7391</v>
      </c>
      <c r="C8149" s="5" t="s">
        <v>11</v>
      </c>
      <c r="D8149" s="5" t="s">
        <v>12</v>
      </c>
      <c r="E8149" s="5" t="s">
        <v>3962</v>
      </c>
    </row>
    <row r="8150" spans="1:5" x14ac:dyDescent="0.25">
      <c r="A8150" s="5">
        <f>8142</f>
      </c>
      <c r="B8150" s="5" t="s">
        <v>7392</v>
      </c>
      <c r="C8150" s="5" t="s">
        <v>11</v>
      </c>
      <c r="D8150" s="5" t="s">
        <v>12</v>
      </c>
      <c r="E8150" s="5" t="s">
        <v>3962</v>
      </c>
    </row>
    <row r="8151" spans="1:5" x14ac:dyDescent="0.25">
      <c r="A8151" s="5">
        <f>8143</f>
      </c>
      <c r="B8151" s="5" t="s">
        <v>7393</v>
      </c>
      <c r="C8151" s="5" t="s">
        <v>11</v>
      </c>
      <c r="D8151" s="5" t="s">
        <v>12</v>
      </c>
      <c r="E8151" s="5" t="s">
        <v>3962</v>
      </c>
    </row>
    <row r="8152" spans="1:5" x14ac:dyDescent="0.25">
      <c r="A8152" s="5">
        <f>8144</f>
      </c>
      <c r="B8152" s="5" t="s">
        <v>7394</v>
      </c>
      <c r="C8152" s="5" t="s">
        <v>11</v>
      </c>
      <c r="D8152" s="5" t="s">
        <v>12</v>
      </c>
      <c r="E8152" s="5" t="s">
        <v>3962</v>
      </c>
    </row>
    <row r="8153" spans="1:5" x14ac:dyDescent="0.25">
      <c r="A8153" s="5">
        <f>8145</f>
      </c>
      <c r="B8153" s="5" t="s">
        <v>7395</v>
      </c>
      <c r="C8153" s="5" t="s">
        <v>11</v>
      </c>
      <c r="D8153" s="5" t="s">
        <v>12</v>
      </c>
      <c r="E8153" s="5" t="s">
        <v>3962</v>
      </c>
    </row>
    <row r="8154" spans="1:5" x14ac:dyDescent="0.25">
      <c r="A8154" s="5">
        <f>8146</f>
      </c>
      <c r="B8154" s="5" t="s">
        <v>7396</v>
      </c>
      <c r="C8154" s="5" t="s">
        <v>11</v>
      </c>
      <c r="D8154" s="5" t="s">
        <v>12</v>
      </c>
      <c r="E8154" s="5" t="s">
        <v>3962</v>
      </c>
    </row>
    <row r="8155" spans="1:5" x14ac:dyDescent="0.25">
      <c r="A8155" s="5">
        <f>8147</f>
      </c>
      <c r="B8155" s="5" t="s">
        <v>7397</v>
      </c>
      <c r="C8155" s="5" t="s">
        <v>11</v>
      </c>
      <c r="D8155" s="5" t="s">
        <v>12</v>
      </c>
      <c r="E8155" s="5" t="s">
        <v>3962</v>
      </c>
    </row>
    <row r="8156" spans="1:5" x14ac:dyDescent="0.25">
      <c r="A8156" s="5">
        <f>8148</f>
      </c>
      <c r="B8156" s="5" t="s">
        <v>7398</v>
      </c>
      <c r="C8156" s="5" t="s">
        <v>11</v>
      </c>
      <c r="D8156" s="5" t="s">
        <v>12</v>
      </c>
      <c r="E8156" s="5" t="s">
        <v>3962</v>
      </c>
    </row>
    <row r="8157" spans="1:5" x14ac:dyDescent="0.25">
      <c r="A8157" s="5">
        <f>8149</f>
      </c>
      <c r="B8157" s="5" t="s">
        <v>7399</v>
      </c>
      <c r="C8157" s="5" t="s">
        <v>11</v>
      </c>
      <c r="D8157" s="5" t="s">
        <v>12</v>
      </c>
      <c r="E8157" s="5" t="s">
        <v>3962</v>
      </c>
    </row>
    <row r="8158" spans="1:5" x14ac:dyDescent="0.25">
      <c r="A8158" s="5">
        <f>8150</f>
      </c>
      <c r="B8158" s="5" t="s">
        <v>7400</v>
      </c>
      <c r="C8158" s="5" t="s">
        <v>11</v>
      </c>
      <c r="D8158" s="5" t="s">
        <v>12</v>
      </c>
      <c r="E8158" s="5" t="s">
        <v>3962</v>
      </c>
    </row>
    <row r="8159" spans="1:5" x14ac:dyDescent="0.25">
      <c r="A8159" s="5">
        <f>8151</f>
      </c>
      <c r="B8159" s="5" t="s">
        <v>7401</v>
      </c>
      <c r="C8159" s="5" t="s">
        <v>11</v>
      </c>
      <c r="D8159" s="5" t="s">
        <v>12</v>
      </c>
      <c r="E8159" s="5" t="s">
        <v>3962</v>
      </c>
    </row>
    <row r="8160" spans="1:5" x14ac:dyDescent="0.25">
      <c r="A8160" s="5">
        <f>8152</f>
      </c>
      <c r="B8160" s="5" t="s">
        <v>7402</v>
      </c>
      <c r="C8160" s="5" t="s">
        <v>11</v>
      </c>
      <c r="D8160" s="5" t="s">
        <v>12</v>
      </c>
      <c r="E8160" s="5" t="s">
        <v>3962</v>
      </c>
    </row>
    <row r="8161" spans="1:5" x14ac:dyDescent="0.25">
      <c r="A8161" s="5">
        <f>8153</f>
      </c>
      <c r="B8161" s="5" t="s">
        <v>7403</v>
      </c>
      <c r="C8161" s="5" t="s">
        <v>11</v>
      </c>
      <c r="D8161" s="5" t="s">
        <v>12</v>
      </c>
      <c r="E8161" s="5" t="s">
        <v>3962</v>
      </c>
    </row>
    <row r="8162" spans="1:5" x14ac:dyDescent="0.25">
      <c r="A8162" s="5">
        <f>8154</f>
      </c>
      <c r="B8162" s="5" t="s">
        <v>7404</v>
      </c>
      <c r="C8162" s="5" t="s">
        <v>11</v>
      </c>
      <c r="D8162" s="5" t="s">
        <v>12</v>
      </c>
      <c r="E8162" s="5" t="s">
        <v>3962</v>
      </c>
    </row>
    <row r="8163" spans="1:5" x14ac:dyDescent="0.25">
      <c r="A8163" s="5">
        <f>8155</f>
      </c>
      <c r="B8163" s="5" t="s">
        <v>7405</v>
      </c>
      <c r="C8163" s="5" t="s">
        <v>11</v>
      </c>
      <c r="D8163" s="5" t="s">
        <v>12</v>
      </c>
      <c r="E8163" s="5" t="s">
        <v>3962</v>
      </c>
    </row>
    <row r="8164" spans="1:5" x14ac:dyDescent="0.25">
      <c r="A8164" s="5">
        <f>8156</f>
      </c>
      <c r="B8164" s="5" t="s">
        <v>7406</v>
      </c>
      <c r="C8164" s="5" t="s">
        <v>11</v>
      </c>
      <c r="D8164" s="5" t="s">
        <v>12</v>
      </c>
      <c r="E8164" s="5" t="s">
        <v>3962</v>
      </c>
    </row>
    <row r="8165" spans="1:5" x14ac:dyDescent="0.25">
      <c r="A8165" s="5">
        <f>8157</f>
      </c>
      <c r="B8165" s="5" t="s">
        <v>7407</v>
      </c>
      <c r="C8165" s="5" t="s">
        <v>11</v>
      </c>
      <c r="D8165" s="5" t="s">
        <v>12</v>
      </c>
      <c r="E8165" s="5" t="s">
        <v>3962</v>
      </c>
    </row>
    <row r="8166" spans="1:5" x14ac:dyDescent="0.25">
      <c r="A8166" s="5">
        <f>8158</f>
      </c>
      <c r="B8166" s="5" t="s">
        <v>7408</v>
      </c>
      <c r="C8166" s="5" t="s">
        <v>11</v>
      </c>
      <c r="D8166" s="5" t="s">
        <v>12</v>
      </c>
      <c r="E8166" s="5" t="s">
        <v>3962</v>
      </c>
    </row>
    <row r="8167" spans="1:5" x14ac:dyDescent="0.25">
      <c r="A8167" s="5">
        <f>8159</f>
      </c>
      <c r="B8167" s="5" t="s">
        <v>7409</v>
      </c>
      <c r="C8167" s="5" t="s">
        <v>11</v>
      </c>
      <c r="D8167" s="5" t="s">
        <v>12</v>
      </c>
      <c r="E8167" s="5" t="s">
        <v>3962</v>
      </c>
    </row>
    <row r="8168" spans="1:5" x14ac:dyDescent="0.25">
      <c r="A8168" s="5">
        <f>8160</f>
      </c>
      <c r="B8168" s="5" t="s">
        <v>7410</v>
      </c>
      <c r="C8168" s="5" t="s">
        <v>11</v>
      </c>
      <c r="D8168" s="5" t="s">
        <v>12</v>
      </c>
      <c r="E8168" s="5" t="s">
        <v>3962</v>
      </c>
    </row>
    <row r="8169" spans="1:5" x14ac:dyDescent="0.25">
      <c r="A8169" s="5">
        <f>8161</f>
      </c>
      <c r="B8169" s="5" t="s">
        <v>7411</v>
      </c>
      <c r="C8169" s="5" t="s">
        <v>11</v>
      </c>
      <c r="D8169" s="5" t="s">
        <v>12</v>
      </c>
      <c r="E8169" s="5" t="s">
        <v>3962</v>
      </c>
    </row>
    <row r="8170" spans="1:5" x14ac:dyDescent="0.25">
      <c r="A8170" s="5">
        <f>8162</f>
      </c>
      <c r="B8170" s="5" t="s">
        <v>7412</v>
      </c>
      <c r="C8170" s="5" t="s">
        <v>11</v>
      </c>
      <c r="D8170" s="5" t="s">
        <v>12</v>
      </c>
      <c r="E8170" s="5" t="s">
        <v>3962</v>
      </c>
    </row>
    <row r="8171" spans="1:5" x14ac:dyDescent="0.25">
      <c r="A8171" s="5">
        <f>8163</f>
      </c>
      <c r="B8171" s="5" t="s">
        <v>7413</v>
      </c>
      <c r="C8171" s="5" t="s">
        <v>11</v>
      </c>
      <c r="D8171" s="5" t="s">
        <v>12</v>
      </c>
      <c r="E8171" s="5" t="s">
        <v>3962</v>
      </c>
    </row>
    <row r="8172" spans="1:5" x14ac:dyDescent="0.25">
      <c r="A8172" s="5">
        <f>8164</f>
      </c>
      <c r="B8172" s="5" t="s">
        <v>7414</v>
      </c>
      <c r="C8172" s="5" t="s">
        <v>11</v>
      </c>
      <c r="D8172" s="5" t="s">
        <v>12</v>
      </c>
      <c r="E8172" s="5" t="s">
        <v>3962</v>
      </c>
    </row>
    <row r="8173" spans="1:5" x14ac:dyDescent="0.25">
      <c r="A8173" s="5">
        <f>8165</f>
      </c>
      <c r="B8173" s="5" t="s">
        <v>7415</v>
      </c>
      <c r="C8173" s="5" t="s">
        <v>11</v>
      </c>
      <c r="D8173" s="5" t="s">
        <v>12</v>
      </c>
      <c r="E8173" s="5" t="s">
        <v>3962</v>
      </c>
    </row>
    <row r="8174" spans="1:5" x14ac:dyDescent="0.25">
      <c r="A8174" s="5">
        <f>8166</f>
      </c>
      <c r="B8174" s="5" t="s">
        <v>7416</v>
      </c>
      <c r="C8174" s="5" t="s">
        <v>11</v>
      </c>
      <c r="D8174" s="5" t="s">
        <v>12</v>
      </c>
      <c r="E8174" s="5" t="s">
        <v>3962</v>
      </c>
    </row>
    <row r="8175" spans="1:5" x14ac:dyDescent="0.25">
      <c r="A8175" s="5">
        <f>8167</f>
      </c>
      <c r="B8175" s="5" t="s">
        <v>7417</v>
      </c>
      <c r="C8175" s="5" t="s">
        <v>11</v>
      </c>
      <c r="D8175" s="5" t="s">
        <v>12</v>
      </c>
      <c r="E8175" s="5" t="s">
        <v>3962</v>
      </c>
    </row>
    <row r="8176" spans="1:5" x14ac:dyDescent="0.25">
      <c r="A8176" s="5">
        <f>8168</f>
      </c>
      <c r="B8176" s="5" t="s">
        <v>7418</v>
      </c>
      <c r="C8176" s="5" t="s">
        <v>11</v>
      </c>
      <c r="D8176" s="5" t="s">
        <v>12</v>
      </c>
      <c r="E8176" s="5" t="s">
        <v>3962</v>
      </c>
    </row>
    <row r="8177" spans="1:5" x14ac:dyDescent="0.25">
      <c r="A8177" s="5">
        <f>8169</f>
      </c>
      <c r="B8177" s="5" t="s">
        <v>7419</v>
      </c>
      <c r="C8177" s="5" t="s">
        <v>11</v>
      </c>
      <c r="D8177" s="5" t="s">
        <v>12</v>
      </c>
      <c r="E8177" s="5" t="s">
        <v>3962</v>
      </c>
    </row>
    <row r="8178" spans="1:5" x14ac:dyDescent="0.25">
      <c r="A8178" s="5">
        <f>8170</f>
      </c>
      <c r="B8178" s="5" t="s">
        <v>7420</v>
      </c>
      <c r="C8178" s="5" t="s">
        <v>11</v>
      </c>
      <c r="D8178" s="5" t="s">
        <v>12</v>
      </c>
      <c r="E8178" s="5" t="s">
        <v>3962</v>
      </c>
    </row>
    <row r="8179" spans="1:5" x14ac:dyDescent="0.25">
      <c r="A8179" s="5">
        <f>8171</f>
      </c>
      <c r="B8179" s="5" t="s">
        <v>7421</v>
      </c>
      <c r="C8179" s="5" t="s">
        <v>11</v>
      </c>
      <c r="D8179" s="5" t="s">
        <v>12</v>
      </c>
      <c r="E8179" s="5" t="s">
        <v>3962</v>
      </c>
    </row>
    <row r="8180" spans="1:5" x14ac:dyDescent="0.25">
      <c r="A8180" s="5">
        <f>8172</f>
      </c>
      <c r="B8180" s="5" t="s">
        <v>7422</v>
      </c>
      <c r="C8180" s="5" t="s">
        <v>11</v>
      </c>
      <c r="D8180" s="5" t="s">
        <v>12</v>
      </c>
      <c r="E8180" s="5" t="s">
        <v>3962</v>
      </c>
    </row>
    <row r="8181" spans="1:5" x14ac:dyDescent="0.25">
      <c r="A8181" s="5">
        <f>8173</f>
      </c>
      <c r="B8181" s="5" t="s">
        <v>7423</v>
      </c>
      <c r="C8181" s="5" t="s">
        <v>11</v>
      </c>
      <c r="D8181" s="5" t="s">
        <v>12</v>
      </c>
      <c r="E8181" s="5" t="s">
        <v>3962</v>
      </c>
    </row>
    <row r="8182" spans="1:5" x14ac:dyDescent="0.25">
      <c r="A8182" s="5">
        <f>8174</f>
      </c>
      <c r="B8182" s="5" t="s">
        <v>7424</v>
      </c>
      <c r="C8182" s="5" t="s">
        <v>11</v>
      </c>
      <c r="D8182" s="5" t="s">
        <v>12</v>
      </c>
      <c r="E8182" s="5" t="s">
        <v>3962</v>
      </c>
    </row>
    <row r="8183" spans="1:5" x14ac:dyDescent="0.25">
      <c r="A8183" s="5">
        <f>8175</f>
      </c>
      <c r="B8183" s="5" t="s">
        <v>7425</v>
      </c>
      <c r="C8183" s="5" t="s">
        <v>11</v>
      </c>
      <c r="D8183" s="5" t="s">
        <v>12</v>
      </c>
      <c r="E8183" s="5" t="s">
        <v>3962</v>
      </c>
    </row>
    <row r="8184" spans="1:5" x14ac:dyDescent="0.25">
      <c r="A8184" s="5">
        <f>8176</f>
      </c>
      <c r="B8184" s="5" t="s">
        <v>7426</v>
      </c>
      <c r="C8184" s="5" t="s">
        <v>11</v>
      </c>
      <c r="D8184" s="5" t="s">
        <v>12</v>
      </c>
      <c r="E8184" s="5" t="s">
        <v>3962</v>
      </c>
    </row>
    <row r="8185" spans="1:5" x14ac:dyDescent="0.25">
      <c r="A8185" s="5">
        <f>8177</f>
      </c>
      <c r="B8185" s="5" t="s">
        <v>7427</v>
      </c>
      <c r="C8185" s="5" t="s">
        <v>11</v>
      </c>
      <c r="D8185" s="5" t="s">
        <v>12</v>
      </c>
      <c r="E8185" s="5" t="s">
        <v>3962</v>
      </c>
    </row>
    <row r="8186" spans="1:5" x14ac:dyDescent="0.25">
      <c r="A8186" s="5">
        <f>8178</f>
      </c>
      <c r="B8186" s="5" t="s">
        <v>7428</v>
      </c>
      <c r="C8186" s="5" t="s">
        <v>11</v>
      </c>
      <c r="D8186" s="5" t="s">
        <v>12</v>
      </c>
      <c r="E8186" s="5" t="s">
        <v>3962</v>
      </c>
    </row>
    <row r="8187" spans="1:5" x14ac:dyDescent="0.25">
      <c r="A8187" s="5">
        <f>8179</f>
      </c>
      <c r="B8187" s="5" t="s">
        <v>7429</v>
      </c>
      <c r="C8187" s="5" t="s">
        <v>11</v>
      </c>
      <c r="D8187" s="5" t="s">
        <v>12</v>
      </c>
      <c r="E8187" s="5" t="s">
        <v>3962</v>
      </c>
    </row>
    <row r="8188" spans="1:5" x14ac:dyDescent="0.25">
      <c r="A8188" s="5">
        <f>8180</f>
      </c>
      <c r="B8188" s="5" t="s">
        <v>7430</v>
      </c>
      <c r="C8188" s="5" t="s">
        <v>11</v>
      </c>
      <c r="D8188" s="5" t="s">
        <v>12</v>
      </c>
      <c r="E8188" s="5" t="s">
        <v>3962</v>
      </c>
    </row>
    <row r="8189" spans="1:5" x14ac:dyDescent="0.25">
      <c r="A8189" s="5">
        <f>8181</f>
      </c>
      <c r="B8189" s="5" t="s">
        <v>7431</v>
      </c>
      <c r="C8189" s="5" t="s">
        <v>11</v>
      </c>
      <c r="D8189" s="5" t="s">
        <v>12</v>
      </c>
      <c r="E8189" s="5" t="s">
        <v>3962</v>
      </c>
    </row>
    <row r="8190" spans="1:5" x14ac:dyDescent="0.25">
      <c r="A8190" s="5">
        <f>8182</f>
      </c>
      <c r="B8190" s="5" t="s">
        <v>7432</v>
      </c>
      <c r="C8190" s="5" t="s">
        <v>11</v>
      </c>
      <c r="D8190" s="5" t="s">
        <v>12</v>
      </c>
      <c r="E8190" s="5" t="s">
        <v>3962</v>
      </c>
    </row>
    <row r="8191" spans="1:5" x14ac:dyDescent="0.25">
      <c r="A8191" s="5">
        <f>8183</f>
      </c>
      <c r="B8191" s="5" t="s">
        <v>7433</v>
      </c>
      <c r="C8191" s="5" t="s">
        <v>11</v>
      </c>
      <c r="D8191" s="5" t="s">
        <v>12</v>
      </c>
      <c r="E8191" s="5" t="s">
        <v>3962</v>
      </c>
    </row>
    <row r="8192" spans="1:5" x14ac:dyDescent="0.25">
      <c r="A8192" s="5">
        <f>8184</f>
      </c>
      <c r="B8192" s="5" t="s">
        <v>7434</v>
      </c>
      <c r="C8192" s="5" t="s">
        <v>11</v>
      </c>
      <c r="D8192" s="5" t="s">
        <v>12</v>
      </c>
      <c r="E8192" s="5" t="s">
        <v>3962</v>
      </c>
    </row>
    <row r="8193" spans="1:5" x14ac:dyDescent="0.25">
      <c r="A8193" s="5">
        <f>8185</f>
      </c>
      <c r="B8193" s="5" t="s">
        <v>7435</v>
      </c>
      <c r="C8193" s="5" t="s">
        <v>11</v>
      </c>
      <c r="D8193" s="5" t="s">
        <v>12</v>
      </c>
      <c r="E8193" s="5" t="s">
        <v>3962</v>
      </c>
    </row>
    <row r="8194" spans="1:5" x14ac:dyDescent="0.25">
      <c r="A8194" s="5">
        <f>8186</f>
      </c>
      <c r="B8194" s="5" t="s">
        <v>7436</v>
      </c>
      <c r="C8194" s="5" t="s">
        <v>11</v>
      </c>
      <c r="D8194" s="5" t="s">
        <v>12</v>
      </c>
      <c r="E8194" s="5" t="s">
        <v>3962</v>
      </c>
    </row>
    <row r="8195" spans="1:5" x14ac:dyDescent="0.25">
      <c r="A8195" s="5">
        <f>8187</f>
      </c>
      <c r="B8195" s="5" t="s">
        <v>7437</v>
      </c>
      <c r="C8195" s="5" t="s">
        <v>11</v>
      </c>
      <c r="D8195" s="5" t="s">
        <v>12</v>
      </c>
      <c r="E8195" s="5" t="s">
        <v>3962</v>
      </c>
    </row>
    <row r="8196" spans="1:5" x14ac:dyDescent="0.25">
      <c r="A8196" s="5">
        <f>8188</f>
      </c>
      <c r="B8196" s="5" t="s">
        <v>7438</v>
      </c>
      <c r="C8196" s="5" t="s">
        <v>11</v>
      </c>
      <c r="D8196" s="5" t="s">
        <v>12</v>
      </c>
      <c r="E8196" s="5" t="s">
        <v>3962</v>
      </c>
    </row>
    <row r="8197" spans="1:5" x14ac:dyDescent="0.25">
      <c r="A8197" s="5">
        <f>8189</f>
      </c>
      <c r="B8197" s="5" t="s">
        <v>7439</v>
      </c>
      <c r="C8197" s="5" t="s">
        <v>11</v>
      </c>
      <c r="D8197" s="5" t="s">
        <v>12</v>
      </c>
      <c r="E8197" s="5" t="s">
        <v>3962</v>
      </c>
    </row>
    <row r="8198" spans="1:5" x14ac:dyDescent="0.25">
      <c r="A8198" s="5">
        <f>8190</f>
      </c>
      <c r="B8198" s="5" t="s">
        <v>7440</v>
      </c>
      <c r="C8198" s="5" t="s">
        <v>11</v>
      </c>
      <c r="D8198" s="5" t="s">
        <v>12</v>
      </c>
      <c r="E8198" s="5" t="s">
        <v>3962</v>
      </c>
    </row>
    <row r="8199" spans="1:5" x14ac:dyDescent="0.25">
      <c r="A8199" s="5">
        <f>8191</f>
      </c>
      <c r="B8199" s="5" t="s">
        <v>7441</v>
      </c>
      <c r="C8199" s="5" t="s">
        <v>11</v>
      </c>
      <c r="D8199" s="5" t="s">
        <v>12</v>
      </c>
      <c r="E8199" s="5" t="s">
        <v>3962</v>
      </c>
    </row>
    <row r="8200" spans="1:5" x14ac:dyDescent="0.25">
      <c r="A8200" s="5">
        <f>8192</f>
      </c>
      <c r="B8200" s="5" t="s">
        <v>7442</v>
      </c>
      <c r="C8200" s="5" t="s">
        <v>11</v>
      </c>
      <c r="D8200" s="5" t="s">
        <v>12</v>
      </c>
      <c r="E8200" s="5" t="s">
        <v>3962</v>
      </c>
    </row>
    <row r="8201" spans="1:5" x14ac:dyDescent="0.25">
      <c r="A8201" s="5">
        <f>8193</f>
      </c>
      <c r="B8201" s="5" t="s">
        <v>7443</v>
      </c>
      <c r="C8201" s="5" t="s">
        <v>11</v>
      </c>
      <c r="D8201" s="5" t="s">
        <v>12</v>
      </c>
      <c r="E8201" s="5" t="s">
        <v>3962</v>
      </c>
    </row>
    <row r="8202" spans="1:5" x14ac:dyDescent="0.25">
      <c r="A8202" s="5">
        <f>8194</f>
      </c>
      <c r="B8202" s="5" t="s">
        <v>7444</v>
      </c>
      <c r="C8202" s="5" t="s">
        <v>11</v>
      </c>
      <c r="D8202" s="5" t="s">
        <v>12</v>
      </c>
      <c r="E8202" s="5" t="s">
        <v>3962</v>
      </c>
    </row>
    <row r="8203" spans="1:5" x14ac:dyDescent="0.25">
      <c r="A8203" s="5">
        <f>8195</f>
      </c>
      <c r="B8203" s="5" t="s">
        <v>7445</v>
      </c>
      <c r="C8203" s="5" t="s">
        <v>11</v>
      </c>
      <c r="D8203" s="5" t="s">
        <v>12</v>
      </c>
      <c r="E8203" s="5" t="s">
        <v>3962</v>
      </c>
    </row>
    <row r="8204" spans="1:5" x14ac:dyDescent="0.25">
      <c r="A8204" s="5">
        <f>8196</f>
      </c>
      <c r="B8204" s="5" t="s">
        <v>7446</v>
      </c>
      <c r="C8204" s="5" t="s">
        <v>11</v>
      </c>
      <c r="D8204" s="5" t="s">
        <v>12</v>
      </c>
      <c r="E8204" s="5" t="s">
        <v>3962</v>
      </c>
    </row>
    <row r="8205" spans="1:5" x14ac:dyDescent="0.25">
      <c r="A8205" s="5">
        <f>8197</f>
      </c>
      <c r="B8205" s="5" t="s">
        <v>7447</v>
      </c>
      <c r="C8205" s="5" t="s">
        <v>11</v>
      </c>
      <c r="D8205" s="5" t="s">
        <v>12</v>
      </c>
      <c r="E8205" s="5" t="s">
        <v>3962</v>
      </c>
    </row>
    <row r="8206" spans="1:5" x14ac:dyDescent="0.25">
      <c r="A8206" s="5">
        <f>8198</f>
      </c>
      <c r="B8206" s="5" t="s">
        <v>7448</v>
      </c>
      <c r="C8206" s="5" t="s">
        <v>11</v>
      </c>
      <c r="D8206" s="5" t="s">
        <v>12</v>
      </c>
      <c r="E8206" s="5" t="s">
        <v>3962</v>
      </c>
    </row>
    <row r="8207" spans="1:5" x14ac:dyDescent="0.25">
      <c r="A8207" s="5">
        <f>8199</f>
      </c>
      <c r="B8207" s="5" t="s">
        <v>7449</v>
      </c>
      <c r="C8207" s="5" t="s">
        <v>11</v>
      </c>
      <c r="D8207" s="5" t="s">
        <v>12</v>
      </c>
      <c r="E8207" s="5" t="s">
        <v>3962</v>
      </c>
    </row>
    <row r="8208" spans="1:5" x14ac:dyDescent="0.25">
      <c r="A8208" s="5">
        <f>8200</f>
      </c>
      <c r="B8208" s="5" t="s">
        <v>7450</v>
      </c>
      <c r="C8208" s="5" t="s">
        <v>11</v>
      </c>
      <c r="D8208" s="5" t="s">
        <v>12</v>
      </c>
      <c r="E8208" s="5" t="s">
        <v>3962</v>
      </c>
    </row>
    <row r="8209" spans="1:5" x14ac:dyDescent="0.25">
      <c r="A8209" s="5">
        <f>8201</f>
      </c>
      <c r="B8209" s="5" t="s">
        <v>7451</v>
      </c>
      <c r="C8209" s="5" t="s">
        <v>11</v>
      </c>
      <c r="D8209" s="5" t="s">
        <v>12</v>
      </c>
      <c r="E8209" s="5" t="s">
        <v>3962</v>
      </c>
    </row>
    <row r="8210" spans="1:5" x14ac:dyDescent="0.25">
      <c r="A8210" s="5">
        <f>8202</f>
      </c>
      <c r="B8210" s="5" t="s">
        <v>7452</v>
      </c>
      <c r="C8210" s="5" t="s">
        <v>11</v>
      </c>
      <c r="D8210" s="5" t="s">
        <v>12</v>
      </c>
      <c r="E8210" s="5" t="s">
        <v>3962</v>
      </c>
    </row>
    <row r="8211" spans="1:5" x14ac:dyDescent="0.25">
      <c r="A8211" s="5">
        <f>8203</f>
      </c>
      <c r="B8211" s="5" t="s">
        <v>7453</v>
      </c>
      <c r="C8211" s="5" t="s">
        <v>11</v>
      </c>
      <c r="D8211" s="5" t="s">
        <v>12</v>
      </c>
      <c r="E8211" s="5" t="s">
        <v>3962</v>
      </c>
    </row>
    <row r="8212" spans="1:5" x14ac:dyDescent="0.25">
      <c r="A8212" s="5">
        <f>8204</f>
      </c>
      <c r="B8212" s="5" t="s">
        <v>7454</v>
      </c>
      <c r="C8212" s="5" t="s">
        <v>11</v>
      </c>
      <c r="D8212" s="5" t="s">
        <v>12</v>
      </c>
      <c r="E8212" s="5" t="s">
        <v>3962</v>
      </c>
    </row>
    <row r="8213" spans="1:5" x14ac:dyDescent="0.25">
      <c r="A8213" s="5">
        <f>8205</f>
      </c>
      <c r="B8213" s="5" t="s">
        <v>7455</v>
      </c>
      <c r="C8213" s="5" t="s">
        <v>11</v>
      </c>
      <c r="D8213" s="5" t="s">
        <v>12</v>
      </c>
      <c r="E8213" s="5" t="s">
        <v>3962</v>
      </c>
    </row>
    <row r="8214" spans="1:5" x14ac:dyDescent="0.25">
      <c r="A8214" s="5">
        <f>8206</f>
      </c>
      <c r="B8214" s="5" t="s">
        <v>7456</v>
      </c>
      <c r="C8214" s="5" t="s">
        <v>11</v>
      </c>
      <c r="D8214" s="5" t="s">
        <v>12</v>
      </c>
      <c r="E8214" s="5" t="s">
        <v>3962</v>
      </c>
    </row>
    <row r="8215" spans="1:5" x14ac:dyDescent="0.25">
      <c r="A8215" s="5">
        <f>8207</f>
      </c>
      <c r="B8215" s="5" t="s">
        <v>7457</v>
      </c>
      <c r="C8215" s="5" t="s">
        <v>11</v>
      </c>
      <c r="D8215" s="5" t="s">
        <v>12</v>
      </c>
      <c r="E8215" s="5" t="s">
        <v>3962</v>
      </c>
    </row>
    <row r="8216" spans="1:5" x14ac:dyDescent="0.25">
      <c r="A8216" s="5">
        <f>8208</f>
      </c>
      <c r="B8216" s="5" t="s">
        <v>7458</v>
      </c>
      <c r="C8216" s="5" t="s">
        <v>11</v>
      </c>
      <c r="D8216" s="5" t="s">
        <v>12</v>
      </c>
      <c r="E8216" s="5" t="s">
        <v>3962</v>
      </c>
    </row>
    <row r="8217" spans="1:5" x14ac:dyDescent="0.25">
      <c r="A8217" s="5">
        <f>8209</f>
      </c>
      <c r="B8217" s="5" t="s">
        <v>7459</v>
      </c>
      <c r="C8217" s="5" t="s">
        <v>11</v>
      </c>
      <c r="D8217" s="5" t="s">
        <v>12</v>
      </c>
      <c r="E8217" s="5" t="s">
        <v>3962</v>
      </c>
    </row>
    <row r="8218" spans="1:5" x14ac:dyDescent="0.25">
      <c r="A8218" s="5">
        <f>8210</f>
      </c>
      <c r="B8218" s="5" t="s">
        <v>7460</v>
      </c>
      <c r="C8218" s="5" t="s">
        <v>11</v>
      </c>
      <c r="D8218" s="5" t="s">
        <v>12</v>
      </c>
      <c r="E8218" s="5" t="s">
        <v>3962</v>
      </c>
    </row>
    <row r="8219" spans="1:5" x14ac:dyDescent="0.25">
      <c r="A8219" s="5">
        <f>8211</f>
      </c>
      <c r="B8219" s="5" t="s">
        <v>7461</v>
      </c>
      <c r="C8219" s="5" t="s">
        <v>11</v>
      </c>
      <c r="D8219" s="5" t="s">
        <v>12</v>
      </c>
      <c r="E8219" s="5" t="s">
        <v>3962</v>
      </c>
    </row>
    <row r="8220" spans="1:5" x14ac:dyDescent="0.25">
      <c r="A8220" s="5">
        <f>8212</f>
      </c>
      <c r="B8220" s="5" t="s">
        <v>7462</v>
      </c>
      <c r="C8220" s="5" t="s">
        <v>11</v>
      </c>
      <c r="D8220" s="5" t="s">
        <v>12</v>
      </c>
      <c r="E8220" s="5" t="s">
        <v>3962</v>
      </c>
    </row>
    <row r="8221" spans="1:5" x14ac:dyDescent="0.25">
      <c r="A8221" s="5">
        <f>8213</f>
      </c>
      <c r="B8221" s="5" t="s">
        <v>7463</v>
      </c>
      <c r="C8221" s="5" t="s">
        <v>11</v>
      </c>
      <c r="D8221" s="5" t="s">
        <v>12</v>
      </c>
      <c r="E8221" s="5" t="s">
        <v>3962</v>
      </c>
    </row>
    <row r="8222" spans="1:5" x14ac:dyDescent="0.25">
      <c r="A8222" s="5">
        <f>8214</f>
      </c>
      <c r="B8222" s="5" t="s">
        <v>7464</v>
      </c>
      <c r="C8222" s="5" t="s">
        <v>11</v>
      </c>
      <c r="D8222" s="5" t="s">
        <v>12</v>
      </c>
      <c r="E8222" s="5" t="s">
        <v>3962</v>
      </c>
    </row>
    <row r="8223" spans="1:5" x14ac:dyDescent="0.25">
      <c r="A8223" s="5">
        <f>8215</f>
      </c>
      <c r="B8223" s="5" t="s">
        <v>7465</v>
      </c>
      <c r="C8223" s="5" t="s">
        <v>11</v>
      </c>
      <c r="D8223" s="5" t="s">
        <v>12</v>
      </c>
      <c r="E8223" s="5" t="s">
        <v>3962</v>
      </c>
    </row>
    <row r="8224" spans="1:5" x14ac:dyDescent="0.25">
      <c r="A8224" s="5">
        <f>8216</f>
      </c>
      <c r="B8224" s="5" t="s">
        <v>7466</v>
      </c>
      <c r="C8224" s="5" t="s">
        <v>11</v>
      </c>
      <c r="D8224" s="5" t="s">
        <v>12</v>
      </c>
      <c r="E8224" s="5" t="s">
        <v>3962</v>
      </c>
    </row>
    <row r="8225" spans="1:5" x14ac:dyDescent="0.25">
      <c r="A8225" s="5">
        <f>8217</f>
      </c>
      <c r="B8225" s="5" t="s">
        <v>7467</v>
      </c>
      <c r="C8225" s="5" t="s">
        <v>11</v>
      </c>
      <c r="D8225" s="5" t="s">
        <v>12</v>
      </c>
      <c r="E8225" s="5" t="s">
        <v>3962</v>
      </c>
    </row>
    <row r="8226" spans="1:5" x14ac:dyDescent="0.25">
      <c r="A8226" s="5">
        <f>8218</f>
      </c>
      <c r="B8226" s="5" t="s">
        <v>7468</v>
      </c>
      <c r="C8226" s="5" t="s">
        <v>11</v>
      </c>
      <c r="D8226" s="5" t="s">
        <v>12</v>
      </c>
      <c r="E8226" s="5" t="s">
        <v>3962</v>
      </c>
    </row>
    <row r="8227" spans="1:5" x14ac:dyDescent="0.25">
      <c r="A8227" s="5">
        <f>8219</f>
      </c>
      <c r="B8227" s="5" t="s">
        <v>7469</v>
      </c>
      <c r="C8227" s="5" t="s">
        <v>11</v>
      </c>
      <c r="D8227" s="5" t="s">
        <v>12</v>
      </c>
      <c r="E8227" s="5" t="s">
        <v>3962</v>
      </c>
    </row>
    <row r="8228" spans="1:5" x14ac:dyDescent="0.25">
      <c r="A8228" s="5">
        <f>8220</f>
      </c>
      <c r="B8228" s="5" t="s">
        <v>7470</v>
      </c>
      <c r="C8228" s="5" t="s">
        <v>11</v>
      </c>
      <c r="D8228" s="5" t="s">
        <v>12</v>
      </c>
      <c r="E8228" s="5" t="s">
        <v>3962</v>
      </c>
    </row>
    <row r="8229" spans="1:5" x14ac:dyDescent="0.25">
      <c r="A8229" s="5">
        <f>8221</f>
      </c>
      <c r="B8229" s="5" t="s">
        <v>7471</v>
      </c>
      <c r="C8229" s="5" t="s">
        <v>11</v>
      </c>
      <c r="D8229" s="5" t="s">
        <v>12</v>
      </c>
      <c r="E8229" s="5" t="s">
        <v>3962</v>
      </c>
    </row>
    <row r="8230" spans="1:5" x14ac:dyDescent="0.25">
      <c r="A8230" s="5">
        <f>8222</f>
      </c>
      <c r="B8230" s="5" t="s">
        <v>7472</v>
      </c>
      <c r="C8230" s="5" t="s">
        <v>11</v>
      </c>
      <c r="D8230" s="5" t="s">
        <v>12</v>
      </c>
      <c r="E8230" s="5" t="s">
        <v>3962</v>
      </c>
    </row>
    <row r="8231" spans="1:5" x14ac:dyDescent="0.25">
      <c r="A8231" s="5">
        <f>8223</f>
      </c>
      <c r="B8231" s="5" t="s">
        <v>7473</v>
      </c>
      <c r="C8231" s="5" t="s">
        <v>11</v>
      </c>
      <c r="D8231" s="5" t="s">
        <v>12</v>
      </c>
      <c r="E8231" s="5" t="s">
        <v>3962</v>
      </c>
    </row>
    <row r="8232" spans="1:5" x14ac:dyDescent="0.25">
      <c r="A8232" s="5">
        <f>8224</f>
      </c>
      <c r="B8232" s="5" t="s">
        <v>7474</v>
      </c>
      <c r="C8232" s="5" t="s">
        <v>11</v>
      </c>
      <c r="D8232" s="5" t="s">
        <v>12</v>
      </c>
      <c r="E8232" s="5" t="s">
        <v>3962</v>
      </c>
    </row>
    <row r="8233" spans="1:5" x14ac:dyDescent="0.25">
      <c r="A8233" s="5">
        <f>8225</f>
      </c>
      <c r="B8233" s="5" t="s">
        <v>7475</v>
      </c>
      <c r="C8233" s="5" t="s">
        <v>11</v>
      </c>
      <c r="D8233" s="5" t="s">
        <v>12</v>
      </c>
      <c r="E8233" s="5" t="s">
        <v>3962</v>
      </c>
    </row>
    <row r="8234" spans="1:5" x14ac:dyDescent="0.25">
      <c r="A8234" s="5">
        <f>8226</f>
      </c>
      <c r="B8234" s="5" t="s">
        <v>7476</v>
      </c>
      <c r="C8234" s="5" t="s">
        <v>11</v>
      </c>
      <c r="D8234" s="5" t="s">
        <v>12</v>
      </c>
      <c r="E8234" s="5" t="s">
        <v>3962</v>
      </c>
    </row>
    <row r="8235" spans="1:5" x14ac:dyDescent="0.25">
      <c r="A8235" s="5">
        <f>8227</f>
      </c>
      <c r="B8235" s="5" t="s">
        <v>7477</v>
      </c>
      <c r="C8235" s="5" t="s">
        <v>11</v>
      </c>
      <c r="D8235" s="5" t="s">
        <v>12</v>
      </c>
      <c r="E8235" s="5" t="s">
        <v>3962</v>
      </c>
    </row>
    <row r="8236" spans="1:5" x14ac:dyDescent="0.25">
      <c r="A8236" s="5">
        <f>8228</f>
      </c>
      <c r="B8236" s="5" t="s">
        <v>7478</v>
      </c>
      <c r="C8236" s="5" t="s">
        <v>11</v>
      </c>
      <c r="D8236" s="5" t="s">
        <v>12</v>
      </c>
      <c r="E8236" s="5" t="s">
        <v>3962</v>
      </c>
    </row>
    <row r="8237" spans="1:5" x14ac:dyDescent="0.25">
      <c r="A8237" s="5">
        <f>8229</f>
      </c>
      <c r="B8237" s="5" t="s">
        <v>7479</v>
      </c>
      <c r="C8237" s="5" t="s">
        <v>11</v>
      </c>
      <c r="D8237" s="5" t="s">
        <v>12</v>
      </c>
      <c r="E8237" s="5" t="s">
        <v>3962</v>
      </c>
    </row>
    <row r="8238" spans="1:5" x14ac:dyDescent="0.25">
      <c r="A8238" s="5">
        <f>8230</f>
      </c>
      <c r="B8238" s="5" t="s">
        <v>7480</v>
      </c>
      <c r="C8238" s="5" t="s">
        <v>11</v>
      </c>
      <c r="D8238" s="5" t="s">
        <v>12</v>
      </c>
      <c r="E8238" s="5" t="s">
        <v>3962</v>
      </c>
    </row>
    <row r="8239" spans="1:5" x14ac:dyDescent="0.25">
      <c r="A8239" s="5">
        <f>8231</f>
      </c>
      <c r="B8239" s="5" t="s">
        <v>7481</v>
      </c>
      <c r="C8239" s="5" t="s">
        <v>11</v>
      </c>
      <c r="D8239" s="5" t="s">
        <v>12</v>
      </c>
      <c r="E8239" s="5" t="s">
        <v>3962</v>
      </c>
    </row>
    <row r="8240" spans="1:5" x14ac:dyDescent="0.25">
      <c r="A8240" s="5">
        <f>8232</f>
      </c>
      <c r="B8240" s="5" t="s">
        <v>7482</v>
      </c>
      <c r="C8240" s="5" t="s">
        <v>11</v>
      </c>
      <c r="D8240" s="5" t="s">
        <v>12</v>
      </c>
      <c r="E8240" s="5" t="s">
        <v>3962</v>
      </c>
    </row>
    <row r="8241" spans="1:5" x14ac:dyDescent="0.25">
      <c r="A8241" s="5">
        <f>8233</f>
      </c>
      <c r="B8241" s="5" t="s">
        <v>7483</v>
      </c>
      <c r="C8241" s="5" t="s">
        <v>11</v>
      </c>
      <c r="D8241" s="5" t="s">
        <v>12</v>
      </c>
      <c r="E8241" s="5" t="s">
        <v>3962</v>
      </c>
    </row>
    <row r="8242" spans="1:5" x14ac:dyDescent="0.25">
      <c r="A8242" s="5">
        <f>8234</f>
      </c>
      <c r="B8242" s="5" t="s">
        <v>7484</v>
      </c>
      <c r="C8242" s="5" t="s">
        <v>11</v>
      </c>
      <c r="D8242" s="5" t="s">
        <v>12</v>
      </c>
      <c r="E8242" s="5" t="s">
        <v>3962</v>
      </c>
    </row>
    <row r="8243" spans="1:5" x14ac:dyDescent="0.25">
      <c r="A8243" s="5">
        <f>8235</f>
      </c>
      <c r="B8243" s="5" t="s">
        <v>7485</v>
      </c>
      <c r="C8243" s="5" t="s">
        <v>11</v>
      </c>
      <c r="D8243" s="5" t="s">
        <v>12</v>
      </c>
      <c r="E8243" s="5" t="s">
        <v>3962</v>
      </c>
    </row>
    <row r="8244" spans="1:5" x14ac:dyDescent="0.25">
      <c r="A8244" s="5">
        <f>8236</f>
      </c>
      <c r="B8244" s="5" t="s">
        <v>7486</v>
      </c>
      <c r="C8244" s="5" t="s">
        <v>11</v>
      </c>
      <c r="D8244" s="5" t="s">
        <v>12</v>
      </c>
      <c r="E8244" s="5" t="s">
        <v>3962</v>
      </c>
    </row>
    <row r="8245" spans="1:5" x14ac:dyDescent="0.25">
      <c r="A8245" s="5">
        <f>8237</f>
      </c>
      <c r="B8245" s="5" t="s">
        <v>7487</v>
      </c>
      <c r="C8245" s="5" t="s">
        <v>11</v>
      </c>
      <c r="D8245" s="5" t="s">
        <v>12</v>
      </c>
      <c r="E8245" s="5" t="s">
        <v>3962</v>
      </c>
    </row>
    <row r="8246" spans="1:5" x14ac:dyDescent="0.25">
      <c r="A8246" s="5">
        <f>8238</f>
      </c>
      <c r="B8246" s="5" t="s">
        <v>7488</v>
      </c>
      <c r="C8246" s="5" t="s">
        <v>11</v>
      </c>
      <c r="D8246" s="5" t="s">
        <v>12</v>
      </c>
      <c r="E8246" s="5" t="s">
        <v>3962</v>
      </c>
    </row>
    <row r="8247" spans="1:5" x14ac:dyDescent="0.25">
      <c r="A8247" s="5">
        <f>8239</f>
      </c>
      <c r="B8247" s="5" t="s">
        <v>7489</v>
      </c>
      <c r="C8247" s="5" t="s">
        <v>11</v>
      </c>
      <c r="D8247" s="5" t="s">
        <v>12</v>
      </c>
      <c r="E8247" s="5" t="s">
        <v>3962</v>
      </c>
    </row>
    <row r="8248" spans="1:5" x14ac:dyDescent="0.25">
      <c r="A8248" s="5">
        <f>8240</f>
      </c>
      <c r="B8248" s="5" t="s">
        <v>7490</v>
      </c>
      <c r="C8248" s="5" t="s">
        <v>11</v>
      </c>
      <c r="D8248" s="5" t="s">
        <v>12</v>
      </c>
      <c r="E8248" s="5" t="s">
        <v>3962</v>
      </c>
    </row>
    <row r="8249" spans="1:5" x14ac:dyDescent="0.25">
      <c r="A8249" s="5">
        <f>8241</f>
      </c>
      <c r="B8249" s="5" t="s">
        <v>7491</v>
      </c>
      <c r="C8249" s="5" t="s">
        <v>11</v>
      </c>
      <c r="D8249" s="5" t="s">
        <v>12</v>
      </c>
      <c r="E8249" s="5" t="s">
        <v>3962</v>
      </c>
    </row>
    <row r="8250" spans="1:5" x14ac:dyDescent="0.25">
      <c r="A8250" s="5">
        <f>8242</f>
      </c>
      <c r="B8250" s="5" t="s">
        <v>7492</v>
      </c>
      <c r="C8250" s="5" t="s">
        <v>11</v>
      </c>
      <c r="D8250" s="5" t="s">
        <v>12</v>
      </c>
      <c r="E8250" s="5" t="s">
        <v>3962</v>
      </c>
    </row>
    <row r="8251" spans="1:5" x14ac:dyDescent="0.25">
      <c r="A8251" s="5">
        <f>8243</f>
      </c>
      <c r="B8251" s="5" t="s">
        <v>7493</v>
      </c>
      <c r="C8251" s="5" t="s">
        <v>11</v>
      </c>
      <c r="D8251" s="5" t="s">
        <v>12</v>
      </c>
      <c r="E8251" s="5" t="s">
        <v>3962</v>
      </c>
    </row>
    <row r="8252" spans="1:5" x14ac:dyDescent="0.25">
      <c r="A8252" s="5">
        <f>8244</f>
      </c>
      <c r="B8252" s="5" t="s">
        <v>7494</v>
      </c>
      <c r="C8252" s="5" t="s">
        <v>11</v>
      </c>
      <c r="D8252" s="5" t="s">
        <v>12</v>
      </c>
      <c r="E8252" s="5" t="s">
        <v>3962</v>
      </c>
    </row>
    <row r="8253" spans="1:5" x14ac:dyDescent="0.25">
      <c r="A8253" s="5">
        <f>8245</f>
      </c>
      <c r="B8253" s="5" t="s">
        <v>7495</v>
      </c>
      <c r="C8253" s="5" t="s">
        <v>11</v>
      </c>
      <c r="D8253" s="5" t="s">
        <v>12</v>
      </c>
      <c r="E8253" s="5" t="s">
        <v>3962</v>
      </c>
    </row>
    <row r="8254" spans="1:5" x14ac:dyDescent="0.25">
      <c r="A8254" s="5">
        <f>8246</f>
      </c>
      <c r="B8254" s="5" t="s">
        <v>7496</v>
      </c>
      <c r="C8254" s="5" t="s">
        <v>11</v>
      </c>
      <c r="D8254" s="5" t="s">
        <v>12</v>
      </c>
      <c r="E8254" s="5" t="s">
        <v>3962</v>
      </c>
    </row>
    <row r="8255" spans="1:5" x14ac:dyDescent="0.25">
      <c r="A8255" s="5">
        <f>8247</f>
      </c>
      <c r="B8255" s="5" t="s">
        <v>7497</v>
      </c>
      <c r="C8255" s="5" t="s">
        <v>11</v>
      </c>
      <c r="D8255" s="5" t="s">
        <v>12</v>
      </c>
      <c r="E8255" s="5" t="s">
        <v>3962</v>
      </c>
    </row>
    <row r="8256" spans="1:5" x14ac:dyDescent="0.25">
      <c r="A8256" s="5">
        <f>8248</f>
      </c>
      <c r="B8256" s="5" t="s">
        <v>7498</v>
      </c>
      <c r="C8256" s="5" t="s">
        <v>11</v>
      </c>
      <c r="D8256" s="5" t="s">
        <v>12</v>
      </c>
      <c r="E8256" s="5" t="s">
        <v>3962</v>
      </c>
    </row>
    <row r="8257" spans="1:5" x14ac:dyDescent="0.25">
      <c r="A8257" s="5">
        <f>8249</f>
      </c>
      <c r="B8257" s="5" t="s">
        <v>7499</v>
      </c>
      <c r="C8257" s="5" t="s">
        <v>11</v>
      </c>
      <c r="D8257" s="5" t="s">
        <v>12</v>
      </c>
      <c r="E8257" s="5" t="s">
        <v>3962</v>
      </c>
    </row>
    <row r="8258" spans="1:5" x14ac:dyDescent="0.25">
      <c r="A8258" s="5">
        <f>8250</f>
      </c>
      <c r="B8258" s="5" t="s">
        <v>7500</v>
      </c>
      <c r="C8258" s="5" t="s">
        <v>11</v>
      </c>
      <c r="D8258" s="5" t="s">
        <v>12</v>
      </c>
      <c r="E8258" s="5" t="s">
        <v>3962</v>
      </c>
    </row>
    <row r="8259" spans="1:5" x14ac:dyDescent="0.25">
      <c r="A8259" s="5">
        <f>8251</f>
      </c>
      <c r="B8259" s="5" t="s">
        <v>7501</v>
      </c>
      <c r="C8259" s="5" t="s">
        <v>11</v>
      </c>
      <c r="D8259" s="5" t="s">
        <v>12</v>
      </c>
      <c r="E8259" s="5" t="s">
        <v>3962</v>
      </c>
    </row>
    <row r="8260" spans="1:5" x14ac:dyDescent="0.25">
      <c r="A8260" s="5">
        <f>8252</f>
      </c>
      <c r="B8260" s="5" t="s">
        <v>7502</v>
      </c>
      <c r="C8260" s="5" t="s">
        <v>11</v>
      </c>
      <c r="D8260" s="5" t="s">
        <v>12</v>
      </c>
      <c r="E8260" s="5" t="s">
        <v>3962</v>
      </c>
    </row>
    <row r="8261" spans="1:5" x14ac:dyDescent="0.25">
      <c r="A8261" s="5">
        <f>8253</f>
      </c>
      <c r="B8261" s="5" t="s">
        <v>7503</v>
      </c>
      <c r="C8261" s="5" t="s">
        <v>11</v>
      </c>
      <c r="D8261" s="5" t="s">
        <v>12</v>
      </c>
      <c r="E8261" s="5" t="s">
        <v>3962</v>
      </c>
    </row>
    <row r="8262" spans="1:5" x14ac:dyDescent="0.25">
      <c r="A8262" s="5">
        <f>8254</f>
      </c>
      <c r="B8262" s="5" t="s">
        <v>7504</v>
      </c>
      <c r="C8262" s="5" t="s">
        <v>11</v>
      </c>
      <c r="D8262" s="5" t="s">
        <v>12</v>
      </c>
      <c r="E8262" s="5" t="s">
        <v>3962</v>
      </c>
    </row>
    <row r="8263" spans="1:5" x14ac:dyDescent="0.25">
      <c r="A8263" s="5">
        <f>8255</f>
      </c>
      <c r="B8263" s="5" t="s">
        <v>7505</v>
      </c>
      <c r="C8263" s="5" t="s">
        <v>11</v>
      </c>
      <c r="D8263" s="5" t="s">
        <v>12</v>
      </c>
      <c r="E8263" s="5" t="s">
        <v>3962</v>
      </c>
    </row>
    <row r="8264" spans="1:5" x14ac:dyDescent="0.25">
      <c r="A8264" s="5">
        <f>8256</f>
      </c>
      <c r="B8264" s="5" t="s">
        <v>7506</v>
      </c>
      <c r="C8264" s="5" t="s">
        <v>11</v>
      </c>
      <c r="D8264" s="5" t="s">
        <v>12</v>
      </c>
      <c r="E8264" s="5" t="s">
        <v>3962</v>
      </c>
    </row>
    <row r="8265" spans="1:5" x14ac:dyDescent="0.25">
      <c r="A8265" s="5">
        <f>8257</f>
      </c>
      <c r="B8265" s="5" t="s">
        <v>7507</v>
      </c>
      <c r="C8265" s="5" t="s">
        <v>11</v>
      </c>
      <c r="D8265" s="5" t="s">
        <v>12</v>
      </c>
      <c r="E8265" s="5" t="s">
        <v>3962</v>
      </c>
    </row>
    <row r="8266" spans="1:5" x14ac:dyDescent="0.25">
      <c r="A8266" s="5">
        <f>8258</f>
      </c>
      <c r="B8266" s="5" t="s">
        <v>7508</v>
      </c>
      <c r="C8266" s="5" t="s">
        <v>11</v>
      </c>
      <c r="D8266" s="5" t="s">
        <v>12</v>
      </c>
      <c r="E8266" s="5" t="s">
        <v>3962</v>
      </c>
    </row>
    <row r="8267" spans="1:5" x14ac:dyDescent="0.25">
      <c r="A8267" s="5">
        <f>8259</f>
      </c>
      <c r="B8267" s="5" t="s">
        <v>7509</v>
      </c>
      <c r="C8267" s="5" t="s">
        <v>11</v>
      </c>
      <c r="D8267" s="5" t="s">
        <v>12</v>
      </c>
      <c r="E8267" s="5" t="s">
        <v>3962</v>
      </c>
    </row>
    <row r="8268" spans="1:5" x14ac:dyDescent="0.25">
      <c r="A8268" s="5">
        <f>8260</f>
      </c>
      <c r="B8268" s="5" t="s">
        <v>7510</v>
      </c>
      <c r="C8268" s="5" t="s">
        <v>11</v>
      </c>
      <c r="D8268" s="5" t="s">
        <v>12</v>
      </c>
      <c r="E8268" s="5" t="s">
        <v>3962</v>
      </c>
    </row>
    <row r="8269" spans="1:5" x14ac:dyDescent="0.25">
      <c r="A8269" s="5">
        <f>8261</f>
      </c>
      <c r="B8269" s="5" t="s">
        <v>7511</v>
      </c>
      <c r="C8269" s="5" t="s">
        <v>11</v>
      </c>
      <c r="D8269" s="5" t="s">
        <v>12</v>
      </c>
      <c r="E8269" s="5" t="s">
        <v>3962</v>
      </c>
    </row>
    <row r="8270" spans="1:5" x14ac:dyDescent="0.25">
      <c r="A8270" s="5">
        <f>8262</f>
      </c>
      <c r="B8270" s="5" t="s">
        <v>7512</v>
      </c>
      <c r="C8270" s="5" t="s">
        <v>11</v>
      </c>
      <c r="D8270" s="5" t="s">
        <v>12</v>
      </c>
      <c r="E8270" s="5" t="s">
        <v>3962</v>
      </c>
    </row>
    <row r="8271" spans="1:5" x14ac:dyDescent="0.25">
      <c r="A8271" s="5">
        <f>8263</f>
      </c>
      <c r="B8271" s="5" t="s">
        <v>7513</v>
      </c>
      <c r="C8271" s="5" t="s">
        <v>11</v>
      </c>
      <c r="D8271" s="5" t="s">
        <v>12</v>
      </c>
      <c r="E8271" s="5" t="s">
        <v>3962</v>
      </c>
    </row>
    <row r="8272" spans="1:5" x14ac:dyDescent="0.25">
      <c r="A8272" s="5">
        <f>8264</f>
      </c>
      <c r="B8272" s="5" t="s">
        <v>7514</v>
      </c>
      <c r="C8272" s="5" t="s">
        <v>11</v>
      </c>
      <c r="D8272" s="5" t="s">
        <v>12</v>
      </c>
      <c r="E8272" s="5" t="s">
        <v>3962</v>
      </c>
    </row>
    <row r="8273" spans="1:5" x14ac:dyDescent="0.25">
      <c r="A8273" s="5">
        <f>8265</f>
      </c>
      <c r="B8273" s="5" t="s">
        <v>7515</v>
      </c>
      <c r="C8273" s="5" t="s">
        <v>11</v>
      </c>
      <c r="D8273" s="5" t="s">
        <v>12</v>
      </c>
      <c r="E8273" s="5" t="s">
        <v>3962</v>
      </c>
    </row>
    <row r="8274" spans="1:5" x14ac:dyDescent="0.25">
      <c r="A8274" s="5">
        <f>8266</f>
      </c>
      <c r="B8274" s="5" t="s">
        <v>7516</v>
      </c>
      <c r="C8274" s="5" t="s">
        <v>11</v>
      </c>
      <c r="D8274" s="5" t="s">
        <v>12</v>
      </c>
      <c r="E8274" s="5" t="s">
        <v>3962</v>
      </c>
    </row>
    <row r="8275" spans="1:5" x14ac:dyDescent="0.25">
      <c r="A8275" s="5">
        <f>8267</f>
      </c>
      <c r="B8275" s="5" t="s">
        <v>7517</v>
      </c>
      <c r="C8275" s="5" t="s">
        <v>11</v>
      </c>
      <c r="D8275" s="5" t="s">
        <v>12</v>
      </c>
      <c r="E8275" s="5" t="s">
        <v>3962</v>
      </c>
    </row>
    <row r="8276" spans="1:5" x14ac:dyDescent="0.25">
      <c r="A8276" s="5">
        <f>8268</f>
      </c>
      <c r="B8276" s="5" t="s">
        <v>7518</v>
      </c>
      <c r="C8276" s="5" t="s">
        <v>11</v>
      </c>
      <c r="D8276" s="5" t="s">
        <v>12</v>
      </c>
      <c r="E8276" s="5" t="s">
        <v>3962</v>
      </c>
    </row>
    <row r="8277" spans="1:5" x14ac:dyDescent="0.25">
      <c r="A8277" s="5">
        <f>8269</f>
      </c>
      <c r="B8277" s="5" t="s">
        <v>7519</v>
      </c>
      <c r="C8277" s="5" t="s">
        <v>11</v>
      </c>
      <c r="D8277" s="5" t="s">
        <v>12</v>
      </c>
      <c r="E8277" s="5" t="s">
        <v>3962</v>
      </c>
    </row>
    <row r="8278" spans="1:5" x14ac:dyDescent="0.25">
      <c r="A8278" s="5">
        <f>8270</f>
      </c>
      <c r="B8278" s="5" t="s">
        <v>7520</v>
      </c>
      <c r="C8278" s="5" t="s">
        <v>11</v>
      </c>
      <c r="D8278" s="5" t="s">
        <v>12</v>
      </c>
      <c r="E8278" s="5" t="s">
        <v>3962</v>
      </c>
    </row>
    <row r="8279" spans="1:5" x14ac:dyDescent="0.25">
      <c r="A8279" s="5">
        <f>8271</f>
      </c>
      <c r="B8279" s="5" t="s">
        <v>7521</v>
      </c>
      <c r="C8279" s="5" t="s">
        <v>11</v>
      </c>
      <c r="D8279" s="5" t="s">
        <v>12</v>
      </c>
      <c r="E8279" s="5" t="s">
        <v>3962</v>
      </c>
    </row>
    <row r="8280" spans="1:5" x14ac:dyDescent="0.25">
      <c r="A8280" s="5">
        <f>8272</f>
      </c>
      <c r="B8280" s="5" t="s">
        <v>7522</v>
      </c>
      <c r="C8280" s="5" t="s">
        <v>11</v>
      </c>
      <c r="D8280" s="5" t="s">
        <v>12</v>
      </c>
      <c r="E8280" s="5" t="s">
        <v>3962</v>
      </c>
    </row>
    <row r="8281" spans="1:5" x14ac:dyDescent="0.25">
      <c r="A8281" s="5">
        <f>8273</f>
      </c>
      <c r="B8281" s="5" t="s">
        <v>7523</v>
      </c>
      <c r="C8281" s="5" t="s">
        <v>11</v>
      </c>
      <c r="D8281" s="5" t="s">
        <v>12</v>
      </c>
      <c r="E8281" s="5" t="s">
        <v>3962</v>
      </c>
    </row>
    <row r="8282" spans="1:5" x14ac:dyDescent="0.25">
      <c r="A8282" s="5">
        <f>8274</f>
      </c>
      <c r="B8282" s="5" t="s">
        <v>7524</v>
      </c>
      <c r="C8282" s="5" t="s">
        <v>11</v>
      </c>
      <c r="D8282" s="5" t="s">
        <v>12</v>
      </c>
      <c r="E8282" s="5" t="s">
        <v>3962</v>
      </c>
    </row>
    <row r="8283" spans="1:5" x14ac:dyDescent="0.25">
      <c r="A8283" s="5">
        <f>8275</f>
      </c>
      <c r="B8283" s="5" t="s">
        <v>7525</v>
      </c>
      <c r="C8283" s="5" t="s">
        <v>11</v>
      </c>
      <c r="D8283" s="5" t="s">
        <v>12</v>
      </c>
      <c r="E8283" s="5" t="s">
        <v>3962</v>
      </c>
    </row>
    <row r="8284" spans="1:5" x14ac:dyDescent="0.25">
      <c r="A8284" s="5">
        <f>8276</f>
      </c>
      <c r="B8284" s="5" t="s">
        <v>7526</v>
      </c>
      <c r="C8284" s="5" t="s">
        <v>11</v>
      </c>
      <c r="D8284" s="5" t="s">
        <v>12</v>
      </c>
      <c r="E8284" s="5" t="s">
        <v>3962</v>
      </c>
    </row>
    <row r="8285" spans="1:5" x14ac:dyDescent="0.25">
      <c r="A8285" s="5">
        <f>8277</f>
      </c>
      <c r="B8285" s="5" t="s">
        <v>7527</v>
      </c>
      <c r="C8285" s="5" t="s">
        <v>11</v>
      </c>
      <c r="D8285" s="5" t="s">
        <v>12</v>
      </c>
      <c r="E8285" s="5" t="s">
        <v>3962</v>
      </c>
    </row>
    <row r="8286" spans="1:5" x14ac:dyDescent="0.25">
      <c r="A8286" s="5">
        <f>8278</f>
      </c>
      <c r="B8286" s="5" t="s">
        <v>7528</v>
      </c>
      <c r="C8286" s="5" t="s">
        <v>11</v>
      </c>
      <c r="D8286" s="5" t="s">
        <v>12</v>
      </c>
      <c r="E8286" s="5" t="s">
        <v>3962</v>
      </c>
    </row>
    <row r="8287" spans="1:5" x14ac:dyDescent="0.25">
      <c r="A8287" s="5">
        <f>8279</f>
      </c>
      <c r="B8287" s="5" t="s">
        <v>7529</v>
      </c>
      <c r="C8287" s="5" t="s">
        <v>11</v>
      </c>
      <c r="D8287" s="5" t="s">
        <v>12</v>
      </c>
      <c r="E8287" s="5" t="s">
        <v>3962</v>
      </c>
    </row>
    <row r="8288" spans="1:5" x14ac:dyDescent="0.25">
      <c r="A8288" s="5">
        <f>8280</f>
      </c>
      <c r="B8288" s="5" t="s">
        <v>7530</v>
      </c>
      <c r="C8288" s="5" t="s">
        <v>11</v>
      </c>
      <c r="D8288" s="5" t="s">
        <v>12</v>
      </c>
      <c r="E8288" s="5" t="s">
        <v>3962</v>
      </c>
    </row>
    <row r="8289" spans="1:5" x14ac:dyDescent="0.25">
      <c r="A8289" s="5">
        <f>8281</f>
      </c>
      <c r="B8289" s="5" t="s">
        <v>7531</v>
      </c>
      <c r="C8289" s="5" t="s">
        <v>11</v>
      </c>
      <c r="D8289" s="5" t="s">
        <v>12</v>
      </c>
      <c r="E8289" s="5" t="s">
        <v>3962</v>
      </c>
    </row>
    <row r="8290" spans="1:5" x14ac:dyDescent="0.25">
      <c r="A8290" s="5">
        <f>8282</f>
      </c>
      <c r="B8290" s="5" t="s">
        <v>7532</v>
      </c>
      <c r="C8290" s="5" t="s">
        <v>11</v>
      </c>
      <c r="D8290" s="5" t="s">
        <v>12</v>
      </c>
      <c r="E8290" s="5" t="s">
        <v>3962</v>
      </c>
    </row>
    <row r="8291" spans="1:5" x14ac:dyDescent="0.25">
      <c r="A8291" s="5">
        <f>8283</f>
      </c>
      <c r="B8291" s="5" t="s">
        <v>7533</v>
      </c>
      <c r="C8291" s="5" t="s">
        <v>11</v>
      </c>
      <c r="D8291" s="5" t="s">
        <v>12</v>
      </c>
      <c r="E8291" s="5" t="s">
        <v>3962</v>
      </c>
    </row>
    <row r="8292" spans="1:5" x14ac:dyDescent="0.25">
      <c r="A8292" s="5">
        <f>8284</f>
      </c>
      <c r="B8292" s="5" t="s">
        <v>7534</v>
      </c>
      <c r="C8292" s="5" t="s">
        <v>11</v>
      </c>
      <c r="D8292" s="5" t="s">
        <v>12</v>
      </c>
      <c r="E8292" s="5" t="s">
        <v>3962</v>
      </c>
    </row>
    <row r="8293" spans="1:5" x14ac:dyDescent="0.25">
      <c r="A8293" s="5">
        <f>8285</f>
      </c>
      <c r="B8293" s="5" t="s">
        <v>7535</v>
      </c>
      <c r="C8293" s="5" t="s">
        <v>11</v>
      </c>
      <c r="D8293" s="5" t="s">
        <v>12</v>
      </c>
      <c r="E8293" s="5" t="s">
        <v>3962</v>
      </c>
    </row>
    <row r="8294" spans="1:5" x14ac:dyDescent="0.25">
      <c r="A8294" s="5">
        <f>8286</f>
      </c>
      <c r="B8294" s="5" t="s">
        <v>7536</v>
      </c>
      <c r="C8294" s="5" t="s">
        <v>11</v>
      </c>
      <c r="D8294" s="5" t="s">
        <v>12</v>
      </c>
      <c r="E8294" s="5" t="s">
        <v>3962</v>
      </c>
    </row>
    <row r="8295" spans="1:5" x14ac:dyDescent="0.25">
      <c r="A8295" s="5">
        <f>8287</f>
      </c>
      <c r="B8295" s="5" t="s">
        <v>7537</v>
      </c>
      <c r="C8295" s="5" t="s">
        <v>11</v>
      </c>
      <c r="D8295" s="5" t="s">
        <v>12</v>
      </c>
      <c r="E8295" s="5" t="s">
        <v>3962</v>
      </c>
    </row>
    <row r="8296" spans="1:5" x14ac:dyDescent="0.25">
      <c r="A8296" s="5">
        <f>8288</f>
      </c>
      <c r="B8296" s="5" t="s">
        <v>7538</v>
      </c>
      <c r="C8296" s="5" t="s">
        <v>11</v>
      </c>
      <c r="D8296" s="5" t="s">
        <v>12</v>
      </c>
      <c r="E8296" s="5" t="s">
        <v>3962</v>
      </c>
    </row>
    <row r="8297" spans="1:5" x14ac:dyDescent="0.25">
      <c r="A8297" s="5">
        <f>8289</f>
      </c>
      <c r="B8297" s="5" t="s">
        <v>7539</v>
      </c>
      <c r="C8297" s="5" t="s">
        <v>11</v>
      </c>
      <c r="D8297" s="5" t="s">
        <v>12</v>
      </c>
      <c r="E8297" s="5" t="s">
        <v>3962</v>
      </c>
    </row>
    <row r="8298" spans="1:5" x14ac:dyDescent="0.25">
      <c r="A8298" s="5">
        <f>8290</f>
      </c>
      <c r="B8298" s="5" t="s">
        <v>7540</v>
      </c>
      <c r="C8298" s="5" t="s">
        <v>11</v>
      </c>
      <c r="D8298" s="5" t="s">
        <v>12</v>
      </c>
      <c r="E8298" s="5" t="s">
        <v>3962</v>
      </c>
    </row>
    <row r="8299" spans="1:5" x14ac:dyDescent="0.25">
      <c r="A8299" s="5">
        <f>8291</f>
      </c>
      <c r="B8299" s="5" t="s">
        <v>7541</v>
      </c>
      <c r="C8299" s="5" t="s">
        <v>11</v>
      </c>
      <c r="D8299" s="5" t="s">
        <v>12</v>
      </c>
      <c r="E8299" s="5" t="s">
        <v>3962</v>
      </c>
    </row>
    <row r="8300" spans="1:5" x14ac:dyDescent="0.25">
      <c r="A8300" s="5">
        <f>8292</f>
      </c>
      <c r="B8300" s="5" t="s">
        <v>7542</v>
      </c>
      <c r="C8300" s="5" t="s">
        <v>11</v>
      </c>
      <c r="D8300" s="5" t="s">
        <v>12</v>
      </c>
      <c r="E8300" s="5" t="s">
        <v>3962</v>
      </c>
    </row>
    <row r="8301" spans="1:5" x14ac:dyDescent="0.25">
      <c r="A8301" s="5">
        <f>8293</f>
      </c>
      <c r="B8301" s="5" t="s">
        <v>7543</v>
      </c>
      <c r="C8301" s="5" t="s">
        <v>11</v>
      </c>
      <c r="D8301" s="5" t="s">
        <v>12</v>
      </c>
      <c r="E8301" s="5" t="s">
        <v>3962</v>
      </c>
    </row>
    <row r="8302" spans="1:5" x14ac:dyDescent="0.25">
      <c r="A8302" s="5">
        <f>8294</f>
      </c>
      <c r="B8302" s="5" t="s">
        <v>7544</v>
      </c>
      <c r="C8302" s="5" t="s">
        <v>11</v>
      </c>
      <c r="D8302" s="5" t="s">
        <v>12</v>
      </c>
      <c r="E8302" s="5" t="s">
        <v>3962</v>
      </c>
    </row>
    <row r="8303" spans="1:5" x14ac:dyDescent="0.25">
      <c r="A8303" s="5">
        <f>8295</f>
      </c>
      <c r="B8303" s="5" t="s">
        <v>7545</v>
      </c>
      <c r="C8303" s="5" t="s">
        <v>11</v>
      </c>
      <c r="D8303" s="5" t="s">
        <v>12</v>
      </c>
      <c r="E8303" s="5" t="s">
        <v>3962</v>
      </c>
    </row>
    <row r="8304" spans="1:5" x14ac:dyDescent="0.25">
      <c r="A8304" s="5">
        <f>8296</f>
      </c>
      <c r="B8304" s="5" t="s">
        <v>7546</v>
      </c>
      <c r="C8304" s="5" t="s">
        <v>11</v>
      </c>
      <c r="D8304" s="5" t="s">
        <v>12</v>
      </c>
      <c r="E8304" s="5" t="s">
        <v>3962</v>
      </c>
    </row>
    <row r="8305" spans="1:5" x14ac:dyDescent="0.25">
      <c r="A8305" s="5">
        <f>8297</f>
      </c>
      <c r="B8305" s="5" t="s">
        <v>7547</v>
      </c>
      <c r="C8305" s="5" t="s">
        <v>11</v>
      </c>
      <c r="D8305" s="5" t="s">
        <v>12</v>
      </c>
      <c r="E8305" s="5" t="s">
        <v>3962</v>
      </c>
    </row>
    <row r="8306" spans="1:5" x14ac:dyDescent="0.25">
      <c r="A8306" s="5">
        <f>8298</f>
      </c>
      <c r="B8306" s="5" t="s">
        <v>7548</v>
      </c>
      <c r="C8306" s="5" t="s">
        <v>11</v>
      </c>
      <c r="D8306" s="5" t="s">
        <v>12</v>
      </c>
      <c r="E8306" s="5" t="s">
        <v>3962</v>
      </c>
    </row>
    <row r="8307" spans="1:5" x14ac:dyDescent="0.25">
      <c r="A8307" s="5">
        <f>8299</f>
      </c>
      <c r="B8307" s="5" t="s">
        <v>7549</v>
      </c>
      <c r="C8307" s="5" t="s">
        <v>11</v>
      </c>
      <c r="D8307" s="5" t="s">
        <v>12</v>
      </c>
      <c r="E8307" s="5" t="s">
        <v>3962</v>
      </c>
    </row>
    <row r="8308" spans="1:5" x14ac:dyDescent="0.25">
      <c r="A8308" s="5">
        <f>8300</f>
      </c>
      <c r="B8308" s="5" t="s">
        <v>7550</v>
      </c>
      <c r="C8308" s="5" t="s">
        <v>11</v>
      </c>
      <c r="D8308" s="5" t="s">
        <v>12</v>
      </c>
      <c r="E8308" s="5" t="s">
        <v>3962</v>
      </c>
    </row>
    <row r="8309" spans="1:5" x14ac:dyDescent="0.25">
      <c r="A8309" s="5">
        <f>8301</f>
      </c>
      <c r="B8309" s="5" t="s">
        <v>7551</v>
      </c>
      <c r="C8309" s="5" t="s">
        <v>11</v>
      </c>
      <c r="D8309" s="5" t="s">
        <v>12</v>
      </c>
      <c r="E8309" s="5" t="s">
        <v>3962</v>
      </c>
    </row>
    <row r="8310" spans="1:5" x14ac:dyDescent="0.25">
      <c r="A8310" s="5">
        <f>8302</f>
      </c>
      <c r="B8310" s="5" t="s">
        <v>7552</v>
      </c>
      <c r="C8310" s="5" t="s">
        <v>11</v>
      </c>
      <c r="D8310" s="5" t="s">
        <v>12</v>
      </c>
      <c r="E8310" s="5" t="s">
        <v>3962</v>
      </c>
    </row>
    <row r="8311" spans="1:5" x14ac:dyDescent="0.25">
      <c r="A8311" s="5">
        <f>8303</f>
      </c>
      <c r="B8311" s="5" t="s">
        <v>7553</v>
      </c>
      <c r="C8311" s="5" t="s">
        <v>11</v>
      </c>
      <c r="D8311" s="5" t="s">
        <v>12</v>
      </c>
      <c r="E8311" s="5" t="s">
        <v>3962</v>
      </c>
    </row>
    <row r="8312" spans="1:5" x14ac:dyDescent="0.25">
      <c r="A8312" s="5">
        <f>8304</f>
      </c>
      <c r="B8312" s="5" t="s">
        <v>7554</v>
      </c>
      <c r="C8312" s="5" t="s">
        <v>11</v>
      </c>
      <c r="D8312" s="5" t="s">
        <v>12</v>
      </c>
      <c r="E8312" s="5" t="s">
        <v>3962</v>
      </c>
    </row>
    <row r="8313" spans="1:5" x14ac:dyDescent="0.25">
      <c r="A8313" s="5">
        <f>8305</f>
      </c>
      <c r="B8313" s="5" t="s">
        <v>7555</v>
      </c>
      <c r="C8313" s="5" t="s">
        <v>11</v>
      </c>
      <c r="D8313" s="5" t="s">
        <v>12</v>
      </c>
      <c r="E8313" s="5" t="s">
        <v>3962</v>
      </c>
    </row>
    <row r="8314" spans="1:5" x14ac:dyDescent="0.25">
      <c r="A8314" s="5">
        <f>8306</f>
      </c>
      <c r="B8314" s="5" t="s">
        <v>7556</v>
      </c>
      <c r="C8314" s="5" t="s">
        <v>11</v>
      </c>
      <c r="D8314" s="5" t="s">
        <v>12</v>
      </c>
      <c r="E8314" s="5" t="s">
        <v>3962</v>
      </c>
    </row>
    <row r="8315" spans="1:5" x14ac:dyDescent="0.25">
      <c r="A8315" s="5">
        <f>8307</f>
      </c>
      <c r="B8315" s="5" t="s">
        <v>7557</v>
      </c>
      <c r="C8315" s="5" t="s">
        <v>11</v>
      </c>
      <c r="D8315" s="5" t="s">
        <v>12</v>
      </c>
      <c r="E8315" s="5" t="s">
        <v>3962</v>
      </c>
    </row>
    <row r="8316" spans="1:5" x14ac:dyDescent="0.25">
      <c r="A8316" s="5">
        <f>8308</f>
      </c>
      <c r="B8316" s="5" t="s">
        <v>7558</v>
      </c>
      <c r="C8316" s="5" t="s">
        <v>11</v>
      </c>
      <c r="D8316" s="5" t="s">
        <v>12</v>
      </c>
      <c r="E8316" s="5" t="s">
        <v>3962</v>
      </c>
    </row>
    <row r="8317" spans="1:5" x14ac:dyDescent="0.25">
      <c r="A8317" s="5">
        <f>8309</f>
      </c>
      <c r="B8317" s="5" t="s">
        <v>7559</v>
      </c>
      <c r="C8317" s="5" t="s">
        <v>11</v>
      </c>
      <c r="D8317" s="5" t="s">
        <v>12</v>
      </c>
      <c r="E8317" s="5" t="s">
        <v>3962</v>
      </c>
    </row>
    <row r="8318" spans="1:5" x14ac:dyDescent="0.25">
      <c r="A8318" s="5">
        <f>8310</f>
      </c>
      <c r="B8318" s="5" t="s">
        <v>7560</v>
      </c>
      <c r="C8318" s="5" t="s">
        <v>11</v>
      </c>
      <c r="D8318" s="5" t="s">
        <v>12</v>
      </c>
      <c r="E8318" s="5" t="s">
        <v>3962</v>
      </c>
    </row>
    <row r="8319" spans="1:5" x14ac:dyDescent="0.25">
      <c r="A8319" s="5">
        <f>8311</f>
      </c>
      <c r="B8319" s="5" t="s">
        <v>7561</v>
      </c>
      <c r="C8319" s="5" t="s">
        <v>11</v>
      </c>
      <c r="D8319" s="5" t="s">
        <v>12</v>
      </c>
      <c r="E8319" s="5" t="s">
        <v>3962</v>
      </c>
    </row>
    <row r="8320" spans="1:5" x14ac:dyDescent="0.25">
      <c r="A8320" s="5">
        <f>8312</f>
      </c>
      <c r="B8320" s="5" t="s">
        <v>7562</v>
      </c>
      <c r="C8320" s="5" t="s">
        <v>11</v>
      </c>
      <c r="D8320" s="5" t="s">
        <v>12</v>
      </c>
      <c r="E8320" s="5" t="s">
        <v>3962</v>
      </c>
    </row>
    <row r="8321" spans="1:5" x14ac:dyDescent="0.25">
      <c r="A8321" s="5">
        <f>8313</f>
      </c>
      <c r="B8321" s="5" t="s">
        <v>7563</v>
      </c>
      <c r="C8321" s="5" t="s">
        <v>11</v>
      </c>
      <c r="D8321" s="5" t="s">
        <v>12</v>
      </c>
      <c r="E8321" s="5" t="s">
        <v>3962</v>
      </c>
    </row>
    <row r="8322" spans="1:5" x14ac:dyDescent="0.25">
      <c r="A8322" s="5">
        <f>8314</f>
      </c>
      <c r="B8322" s="5" t="s">
        <v>7564</v>
      </c>
      <c r="C8322" s="5" t="s">
        <v>11</v>
      </c>
      <c r="D8322" s="5" t="s">
        <v>12</v>
      </c>
      <c r="E8322" s="5" t="s">
        <v>3962</v>
      </c>
    </row>
    <row r="8323" spans="1:5" x14ac:dyDescent="0.25">
      <c r="A8323" s="5">
        <f>8315</f>
      </c>
      <c r="B8323" s="5" t="s">
        <v>7565</v>
      </c>
      <c r="C8323" s="5" t="s">
        <v>11</v>
      </c>
      <c r="D8323" s="5" t="s">
        <v>12</v>
      </c>
      <c r="E8323" s="5" t="s">
        <v>3962</v>
      </c>
    </row>
    <row r="8324" spans="1:5" x14ac:dyDescent="0.25">
      <c r="A8324" s="5">
        <f>8316</f>
      </c>
      <c r="B8324" s="5" t="s">
        <v>7566</v>
      </c>
      <c r="C8324" s="5" t="s">
        <v>11</v>
      </c>
      <c r="D8324" s="5" t="s">
        <v>12</v>
      </c>
      <c r="E8324" s="5" t="s">
        <v>3962</v>
      </c>
    </row>
    <row r="8325" spans="1:5" x14ac:dyDescent="0.25">
      <c r="A8325" s="5">
        <f>8317</f>
      </c>
      <c r="B8325" s="5" t="s">
        <v>7567</v>
      </c>
      <c r="C8325" s="5" t="s">
        <v>11</v>
      </c>
      <c r="D8325" s="5" t="s">
        <v>12</v>
      </c>
      <c r="E8325" s="5" t="s">
        <v>3962</v>
      </c>
    </row>
    <row r="8326" spans="1:5" x14ac:dyDescent="0.25">
      <c r="A8326" s="5">
        <f>8318</f>
      </c>
      <c r="B8326" s="5" t="s">
        <v>7568</v>
      </c>
      <c r="C8326" s="5" t="s">
        <v>11</v>
      </c>
      <c r="D8326" s="5" t="s">
        <v>12</v>
      </c>
      <c r="E8326" s="5" t="s">
        <v>3962</v>
      </c>
    </row>
    <row r="8327" spans="1:5" x14ac:dyDescent="0.25">
      <c r="A8327" s="5">
        <f>8319</f>
      </c>
      <c r="B8327" s="5" t="s">
        <v>7569</v>
      </c>
      <c r="C8327" s="5" t="s">
        <v>11</v>
      </c>
      <c r="D8327" s="5" t="s">
        <v>12</v>
      </c>
      <c r="E8327" s="5" t="s">
        <v>3962</v>
      </c>
    </row>
    <row r="8328" spans="1:5" x14ac:dyDescent="0.25">
      <c r="A8328" s="5">
        <f>8320</f>
      </c>
      <c r="B8328" s="5" t="s">
        <v>7570</v>
      </c>
      <c r="C8328" s="5" t="s">
        <v>11</v>
      </c>
      <c r="D8328" s="5" t="s">
        <v>12</v>
      </c>
      <c r="E8328" s="5" t="s">
        <v>3962</v>
      </c>
    </row>
    <row r="8329" spans="1:5" x14ac:dyDescent="0.25">
      <c r="A8329" s="5">
        <f>8321</f>
      </c>
      <c r="B8329" s="5" t="s">
        <v>7571</v>
      </c>
      <c r="C8329" s="5" t="s">
        <v>11</v>
      </c>
      <c r="D8329" s="5" t="s">
        <v>12</v>
      </c>
      <c r="E8329" s="5" t="s">
        <v>3962</v>
      </c>
    </row>
    <row r="8330" spans="1:5" x14ac:dyDescent="0.25">
      <c r="A8330" s="5">
        <f>8322</f>
      </c>
      <c r="B8330" s="5" t="s">
        <v>7572</v>
      </c>
      <c r="C8330" s="5" t="s">
        <v>11</v>
      </c>
      <c r="D8330" s="5" t="s">
        <v>12</v>
      </c>
      <c r="E8330" s="5" t="s">
        <v>3962</v>
      </c>
    </row>
    <row r="8331" spans="1:5" x14ac:dyDescent="0.25">
      <c r="A8331" s="5">
        <f>8323</f>
      </c>
      <c r="B8331" s="5" t="s">
        <v>7573</v>
      </c>
      <c r="C8331" s="5" t="s">
        <v>11</v>
      </c>
      <c r="D8331" s="5" t="s">
        <v>12</v>
      </c>
      <c r="E8331" s="5" t="s">
        <v>3962</v>
      </c>
    </row>
    <row r="8332" spans="1:5" x14ac:dyDescent="0.25">
      <c r="A8332" s="5">
        <f>8324</f>
      </c>
      <c r="B8332" s="5" t="s">
        <v>7574</v>
      </c>
      <c r="C8332" s="5" t="s">
        <v>11</v>
      </c>
      <c r="D8332" s="5" t="s">
        <v>12</v>
      </c>
      <c r="E8332" s="5" t="s">
        <v>3962</v>
      </c>
    </row>
    <row r="8333" spans="1:5" x14ac:dyDescent="0.25">
      <c r="A8333" s="5">
        <f>8325</f>
      </c>
      <c r="B8333" s="5" t="s">
        <v>7575</v>
      </c>
      <c r="C8333" s="5" t="s">
        <v>11</v>
      </c>
      <c r="D8333" s="5" t="s">
        <v>12</v>
      </c>
      <c r="E8333" s="5" t="s">
        <v>3962</v>
      </c>
    </row>
    <row r="8334" spans="1:5" x14ac:dyDescent="0.25">
      <c r="A8334" s="5">
        <f>8326</f>
      </c>
      <c r="B8334" s="5" t="s">
        <v>7576</v>
      </c>
      <c r="C8334" s="5" t="s">
        <v>11</v>
      </c>
      <c r="D8334" s="5" t="s">
        <v>12</v>
      </c>
      <c r="E8334" s="5" t="s">
        <v>3962</v>
      </c>
    </row>
    <row r="8335" spans="1:5" x14ac:dyDescent="0.25">
      <c r="A8335" s="5">
        <f>8327</f>
      </c>
      <c r="B8335" s="5" t="s">
        <v>7577</v>
      </c>
      <c r="C8335" s="5" t="s">
        <v>11</v>
      </c>
      <c r="D8335" s="5" t="s">
        <v>12</v>
      </c>
      <c r="E8335" s="5" t="s">
        <v>3962</v>
      </c>
    </row>
    <row r="8336" spans="1:5" x14ac:dyDescent="0.25">
      <c r="A8336" s="5">
        <f>8328</f>
      </c>
      <c r="B8336" s="5" t="s">
        <v>7578</v>
      </c>
      <c r="C8336" s="5" t="s">
        <v>11</v>
      </c>
      <c r="D8336" s="5" t="s">
        <v>12</v>
      </c>
      <c r="E8336" s="5" t="s">
        <v>3962</v>
      </c>
    </row>
    <row r="8337" spans="1:5" x14ac:dyDescent="0.25">
      <c r="A8337" s="5">
        <f>8329</f>
      </c>
      <c r="B8337" s="5" t="s">
        <v>7579</v>
      </c>
      <c r="C8337" s="5" t="s">
        <v>11</v>
      </c>
      <c r="D8337" s="5" t="s">
        <v>12</v>
      </c>
      <c r="E8337" s="5" t="s">
        <v>3962</v>
      </c>
    </row>
    <row r="8338" spans="1:5" x14ac:dyDescent="0.25">
      <c r="A8338" s="5">
        <f>8330</f>
      </c>
      <c r="B8338" s="5" t="s">
        <v>7580</v>
      </c>
      <c r="C8338" s="5" t="s">
        <v>11</v>
      </c>
      <c r="D8338" s="5" t="s">
        <v>12</v>
      </c>
      <c r="E8338" s="5" t="s">
        <v>3962</v>
      </c>
    </row>
    <row r="8339" spans="1:5" x14ac:dyDescent="0.25">
      <c r="A8339" s="5">
        <f>8331</f>
      </c>
      <c r="B8339" s="5" t="s">
        <v>7581</v>
      </c>
      <c r="C8339" s="5" t="s">
        <v>11</v>
      </c>
      <c r="D8339" s="5" t="s">
        <v>12</v>
      </c>
      <c r="E8339" s="5" t="s">
        <v>3962</v>
      </c>
    </row>
    <row r="8340" spans="1:5" x14ac:dyDescent="0.25">
      <c r="A8340" s="5">
        <f>8332</f>
      </c>
      <c r="B8340" s="5" t="s">
        <v>7582</v>
      </c>
      <c r="C8340" s="5" t="s">
        <v>11</v>
      </c>
      <c r="D8340" s="5" t="s">
        <v>12</v>
      </c>
      <c r="E8340" s="5" t="s">
        <v>3962</v>
      </c>
    </row>
    <row r="8341" spans="1:5" x14ac:dyDescent="0.25">
      <c r="A8341" s="5">
        <f>8333</f>
      </c>
      <c r="B8341" s="5" t="s">
        <v>7583</v>
      </c>
      <c r="C8341" s="5" t="s">
        <v>11</v>
      </c>
      <c r="D8341" s="5" t="s">
        <v>12</v>
      </c>
      <c r="E8341" s="5" t="s">
        <v>3962</v>
      </c>
    </row>
    <row r="8342" spans="1:5" x14ac:dyDescent="0.25">
      <c r="A8342" s="5">
        <f>8334</f>
      </c>
      <c r="B8342" s="5" t="s">
        <v>7584</v>
      </c>
      <c r="C8342" s="5" t="s">
        <v>11</v>
      </c>
      <c r="D8342" s="5" t="s">
        <v>12</v>
      </c>
      <c r="E8342" s="5" t="s">
        <v>3962</v>
      </c>
    </row>
    <row r="8343" spans="1:5" x14ac:dyDescent="0.25">
      <c r="A8343" s="5">
        <f>8335</f>
      </c>
      <c r="B8343" s="5" t="s">
        <v>7585</v>
      </c>
      <c r="C8343" s="5" t="s">
        <v>11</v>
      </c>
      <c r="D8343" s="5" t="s">
        <v>12</v>
      </c>
      <c r="E8343" s="5" t="s">
        <v>3962</v>
      </c>
    </row>
    <row r="8344" spans="1:5" x14ac:dyDescent="0.25">
      <c r="A8344" s="5">
        <f>8336</f>
      </c>
      <c r="B8344" s="5" t="s">
        <v>7586</v>
      </c>
      <c r="C8344" s="5" t="s">
        <v>11</v>
      </c>
      <c r="D8344" s="5" t="s">
        <v>12</v>
      </c>
      <c r="E8344" s="5" t="s">
        <v>3962</v>
      </c>
    </row>
    <row r="8345" spans="1:5" x14ac:dyDescent="0.25">
      <c r="A8345" s="5">
        <f>8337</f>
      </c>
      <c r="B8345" s="5" t="s">
        <v>7587</v>
      </c>
      <c r="C8345" s="5" t="s">
        <v>11</v>
      </c>
      <c r="D8345" s="5" t="s">
        <v>12</v>
      </c>
      <c r="E8345" s="5" t="s">
        <v>3962</v>
      </c>
    </row>
    <row r="8346" spans="1:5" x14ac:dyDescent="0.25">
      <c r="A8346" s="5">
        <f>8338</f>
      </c>
      <c r="B8346" s="5" t="s">
        <v>7588</v>
      </c>
      <c r="C8346" s="5" t="s">
        <v>11</v>
      </c>
      <c r="D8346" s="5" t="s">
        <v>12</v>
      </c>
      <c r="E8346" s="5" t="s">
        <v>3962</v>
      </c>
    </row>
    <row r="8347" spans="1:5" x14ac:dyDescent="0.25">
      <c r="A8347" s="5">
        <f>8339</f>
      </c>
      <c r="B8347" s="5" t="s">
        <v>7589</v>
      </c>
      <c r="C8347" s="5" t="s">
        <v>11</v>
      </c>
      <c r="D8347" s="5" t="s">
        <v>12</v>
      </c>
      <c r="E8347" s="5" t="s">
        <v>3962</v>
      </c>
    </row>
    <row r="8348" spans="1:5" x14ac:dyDescent="0.25">
      <c r="A8348" s="5">
        <f>8340</f>
      </c>
      <c r="B8348" s="5" t="s">
        <v>7590</v>
      </c>
      <c r="C8348" s="5" t="s">
        <v>11</v>
      </c>
      <c r="D8348" s="5" t="s">
        <v>12</v>
      </c>
      <c r="E8348" s="5" t="s">
        <v>3962</v>
      </c>
    </row>
    <row r="8349" spans="1:5" x14ac:dyDescent="0.25">
      <c r="A8349" s="5">
        <f>8341</f>
      </c>
      <c r="B8349" s="5" t="s">
        <v>7591</v>
      </c>
      <c r="C8349" s="5" t="s">
        <v>11</v>
      </c>
      <c r="D8349" s="5" t="s">
        <v>12</v>
      </c>
      <c r="E8349" s="5" t="s">
        <v>3962</v>
      </c>
    </row>
    <row r="8350" spans="1:5" x14ac:dyDescent="0.25">
      <c r="A8350" s="5">
        <f>8342</f>
      </c>
      <c r="B8350" s="5" t="s">
        <v>7592</v>
      </c>
      <c r="C8350" s="5" t="s">
        <v>11</v>
      </c>
      <c r="D8350" s="5" t="s">
        <v>12</v>
      </c>
      <c r="E8350" s="5" t="s">
        <v>3962</v>
      </c>
    </row>
    <row r="8351" spans="1:5" x14ac:dyDescent="0.25">
      <c r="A8351" s="5">
        <f>8343</f>
      </c>
      <c r="B8351" s="5" t="s">
        <v>7593</v>
      </c>
      <c r="C8351" s="5" t="s">
        <v>11</v>
      </c>
      <c r="D8351" s="5" t="s">
        <v>12</v>
      </c>
      <c r="E8351" s="5" t="s">
        <v>3962</v>
      </c>
    </row>
    <row r="8352" spans="1:5" x14ac:dyDescent="0.25">
      <c r="A8352" s="5">
        <f>8344</f>
      </c>
      <c r="B8352" s="5" t="s">
        <v>7594</v>
      </c>
      <c r="C8352" s="5" t="s">
        <v>11</v>
      </c>
      <c r="D8352" s="5" t="s">
        <v>12</v>
      </c>
      <c r="E8352" s="5" t="s">
        <v>3962</v>
      </c>
    </row>
    <row r="8353" spans="1:5" x14ac:dyDescent="0.25">
      <c r="A8353" s="5">
        <f>8345</f>
      </c>
      <c r="B8353" s="5" t="s">
        <v>7595</v>
      </c>
      <c r="C8353" s="5" t="s">
        <v>11</v>
      </c>
      <c r="D8353" s="5" t="s">
        <v>12</v>
      </c>
      <c r="E8353" s="5" t="s">
        <v>3962</v>
      </c>
    </row>
    <row r="8354" spans="1:5" x14ac:dyDescent="0.25">
      <c r="A8354" s="5">
        <f>8346</f>
      </c>
      <c r="B8354" s="5" t="s">
        <v>7596</v>
      </c>
      <c r="C8354" s="5" t="s">
        <v>11</v>
      </c>
      <c r="D8354" s="5" t="s">
        <v>12</v>
      </c>
      <c r="E8354" s="5" t="s">
        <v>3962</v>
      </c>
    </row>
    <row r="8355" spans="1:5" x14ac:dyDescent="0.25">
      <c r="A8355" s="5">
        <f>8347</f>
      </c>
      <c r="B8355" s="5" t="s">
        <v>7597</v>
      </c>
      <c r="C8355" s="5" t="s">
        <v>11</v>
      </c>
      <c r="D8355" s="5" t="s">
        <v>12</v>
      </c>
      <c r="E8355" s="5" t="s">
        <v>3962</v>
      </c>
    </row>
    <row r="8356" spans="1:5" x14ac:dyDescent="0.25">
      <c r="A8356" s="5">
        <f>8348</f>
      </c>
      <c r="B8356" s="5" t="s">
        <v>7598</v>
      </c>
      <c r="C8356" s="5" t="s">
        <v>11</v>
      </c>
      <c r="D8356" s="5" t="s">
        <v>12</v>
      </c>
      <c r="E8356" s="5" t="s">
        <v>3962</v>
      </c>
    </row>
    <row r="8357" spans="1:5" x14ac:dyDescent="0.25">
      <c r="A8357" s="5">
        <f>8349</f>
      </c>
      <c r="B8357" s="5" t="s">
        <v>7599</v>
      </c>
      <c r="C8357" s="5" t="s">
        <v>11</v>
      </c>
      <c r="D8357" s="5" t="s">
        <v>12</v>
      </c>
      <c r="E8357" s="5" t="s">
        <v>3962</v>
      </c>
    </row>
    <row r="8358" spans="1:5" x14ac:dyDescent="0.25">
      <c r="A8358" s="5">
        <f>8350</f>
      </c>
      <c r="B8358" s="5" t="s">
        <v>7600</v>
      </c>
      <c r="C8358" s="5" t="s">
        <v>11</v>
      </c>
      <c r="D8358" s="5" t="s">
        <v>12</v>
      </c>
      <c r="E8358" s="5" t="s">
        <v>3962</v>
      </c>
    </row>
    <row r="8359" spans="1:5" x14ac:dyDescent="0.25">
      <c r="A8359" s="5">
        <f>8351</f>
      </c>
      <c r="B8359" s="5" t="s">
        <v>7601</v>
      </c>
      <c r="C8359" s="5" t="s">
        <v>11</v>
      </c>
      <c r="D8359" s="5" t="s">
        <v>12</v>
      </c>
      <c r="E8359" s="5" t="s">
        <v>3962</v>
      </c>
    </row>
    <row r="8360" spans="1:5" x14ac:dyDescent="0.25">
      <c r="A8360" s="5">
        <f>8352</f>
      </c>
      <c r="B8360" s="5" t="s">
        <v>7602</v>
      </c>
      <c r="C8360" s="5" t="s">
        <v>11</v>
      </c>
      <c r="D8360" s="5" t="s">
        <v>12</v>
      </c>
      <c r="E8360" s="5" t="s">
        <v>3962</v>
      </c>
    </row>
    <row r="8361" spans="1:5" x14ac:dyDescent="0.25">
      <c r="A8361" s="5">
        <f>8353</f>
      </c>
      <c r="B8361" s="5" t="s">
        <v>7603</v>
      </c>
      <c r="C8361" s="5" t="s">
        <v>11</v>
      </c>
      <c r="D8361" s="5" t="s">
        <v>12</v>
      </c>
      <c r="E8361" s="5" t="s">
        <v>3962</v>
      </c>
    </row>
    <row r="8362" spans="1:5" x14ac:dyDescent="0.25">
      <c r="A8362" s="5">
        <f>8354</f>
      </c>
      <c r="B8362" s="5" t="s">
        <v>7604</v>
      </c>
      <c r="C8362" s="5" t="s">
        <v>11</v>
      </c>
      <c r="D8362" s="5" t="s">
        <v>12</v>
      </c>
      <c r="E8362" s="5" t="s">
        <v>3962</v>
      </c>
    </row>
    <row r="8363" spans="1:5" x14ac:dyDescent="0.25">
      <c r="A8363" s="5">
        <f>8355</f>
      </c>
      <c r="B8363" s="5" t="s">
        <v>7605</v>
      </c>
      <c r="C8363" s="5" t="s">
        <v>11</v>
      </c>
      <c r="D8363" s="5" t="s">
        <v>12</v>
      </c>
      <c r="E8363" s="5" t="s">
        <v>3962</v>
      </c>
    </row>
    <row r="8364" spans="1:5" x14ac:dyDescent="0.25">
      <c r="A8364" s="5">
        <f>8356</f>
      </c>
      <c r="B8364" s="5" t="s">
        <v>7606</v>
      </c>
      <c r="C8364" s="5" t="s">
        <v>11</v>
      </c>
      <c r="D8364" s="5" t="s">
        <v>12</v>
      </c>
      <c r="E8364" s="5" t="s">
        <v>3962</v>
      </c>
    </row>
    <row r="8365" spans="1:5" x14ac:dyDescent="0.25">
      <c r="A8365" s="5">
        <f>8357</f>
      </c>
      <c r="B8365" s="5" t="s">
        <v>7607</v>
      </c>
      <c r="C8365" s="5" t="s">
        <v>11</v>
      </c>
      <c r="D8365" s="5" t="s">
        <v>12</v>
      </c>
      <c r="E8365" s="5" t="s">
        <v>3962</v>
      </c>
    </row>
    <row r="8366" spans="1:5" x14ac:dyDescent="0.25">
      <c r="A8366" s="5">
        <f>8358</f>
      </c>
      <c r="B8366" s="5" t="s">
        <v>7608</v>
      </c>
      <c r="C8366" s="5" t="s">
        <v>11</v>
      </c>
      <c r="D8366" s="5" t="s">
        <v>12</v>
      </c>
      <c r="E8366" s="5" t="s">
        <v>3962</v>
      </c>
    </row>
    <row r="8367" spans="1:5" x14ac:dyDescent="0.25">
      <c r="A8367" s="5">
        <f>8359</f>
      </c>
      <c r="B8367" s="5" t="s">
        <v>7609</v>
      </c>
      <c r="C8367" s="5" t="s">
        <v>11</v>
      </c>
      <c r="D8367" s="5" t="s">
        <v>12</v>
      </c>
      <c r="E8367" s="5" t="s">
        <v>3962</v>
      </c>
    </row>
    <row r="8368" spans="1:5" x14ac:dyDescent="0.25">
      <c r="A8368" s="5">
        <f>8360</f>
      </c>
      <c r="B8368" s="5" t="s">
        <v>7610</v>
      </c>
      <c r="C8368" s="5" t="s">
        <v>11</v>
      </c>
      <c r="D8368" s="5" t="s">
        <v>12</v>
      </c>
      <c r="E8368" s="5" t="s">
        <v>3962</v>
      </c>
    </row>
    <row r="8369" spans="1:5" x14ac:dyDescent="0.25">
      <c r="A8369" s="5">
        <f>8361</f>
      </c>
      <c r="B8369" s="5" t="s">
        <v>7611</v>
      </c>
      <c r="C8369" s="5" t="s">
        <v>11</v>
      </c>
      <c r="D8369" s="5" t="s">
        <v>12</v>
      </c>
      <c r="E8369" s="5" t="s">
        <v>3962</v>
      </c>
    </row>
    <row r="8370" spans="1:5" x14ac:dyDescent="0.25">
      <c r="A8370" s="5">
        <f>8362</f>
      </c>
      <c r="B8370" s="5" t="s">
        <v>7612</v>
      </c>
      <c r="C8370" s="5" t="s">
        <v>11</v>
      </c>
      <c r="D8370" s="5" t="s">
        <v>12</v>
      </c>
      <c r="E8370" s="5" t="s">
        <v>3962</v>
      </c>
    </row>
    <row r="8371" spans="1:5" x14ac:dyDescent="0.25">
      <c r="A8371" s="5">
        <f>8363</f>
      </c>
      <c r="B8371" s="5" t="s">
        <v>7613</v>
      </c>
      <c r="C8371" s="5" t="s">
        <v>11</v>
      </c>
      <c r="D8371" s="5" t="s">
        <v>12</v>
      </c>
      <c r="E8371" s="5" t="s">
        <v>3962</v>
      </c>
    </row>
    <row r="8372" spans="1:5" x14ac:dyDescent="0.25">
      <c r="A8372" s="5">
        <f>8364</f>
      </c>
      <c r="B8372" s="5" t="s">
        <v>7614</v>
      </c>
      <c r="C8372" s="5" t="s">
        <v>11</v>
      </c>
      <c r="D8372" s="5" t="s">
        <v>12</v>
      </c>
      <c r="E8372" s="5" t="s">
        <v>3962</v>
      </c>
    </row>
    <row r="8373" spans="1:5" x14ac:dyDescent="0.25">
      <c r="A8373" s="5">
        <f>8365</f>
      </c>
      <c r="B8373" s="5" t="s">
        <v>7615</v>
      </c>
      <c r="C8373" s="5" t="s">
        <v>11</v>
      </c>
      <c r="D8373" s="5" t="s">
        <v>12</v>
      </c>
      <c r="E8373" s="5" t="s">
        <v>3962</v>
      </c>
    </row>
    <row r="8374" spans="1:5" x14ac:dyDescent="0.25">
      <c r="A8374" s="5">
        <f>8366</f>
      </c>
      <c r="B8374" s="5" t="s">
        <v>7616</v>
      </c>
      <c r="C8374" s="5" t="s">
        <v>11</v>
      </c>
      <c r="D8374" s="5" t="s">
        <v>12</v>
      </c>
      <c r="E8374" s="5" t="s">
        <v>3962</v>
      </c>
    </row>
    <row r="8375" spans="1:5" x14ac:dyDescent="0.25">
      <c r="A8375" s="5">
        <f>8367</f>
      </c>
      <c r="B8375" s="5" t="s">
        <v>7617</v>
      </c>
      <c r="C8375" s="5" t="s">
        <v>11</v>
      </c>
      <c r="D8375" s="5" t="s">
        <v>12</v>
      </c>
      <c r="E8375" s="5" t="s">
        <v>3962</v>
      </c>
    </row>
    <row r="8376" spans="1:5" x14ac:dyDescent="0.25">
      <c r="A8376" s="5">
        <f>8368</f>
      </c>
      <c r="B8376" s="5" t="s">
        <v>7618</v>
      </c>
      <c r="C8376" s="5" t="s">
        <v>11</v>
      </c>
      <c r="D8376" s="5" t="s">
        <v>12</v>
      </c>
      <c r="E8376" s="5" t="s">
        <v>3962</v>
      </c>
    </row>
    <row r="8377" spans="1:5" x14ac:dyDescent="0.25">
      <c r="A8377" s="5">
        <f>8369</f>
      </c>
      <c r="B8377" s="5" t="s">
        <v>7619</v>
      </c>
      <c r="C8377" s="5" t="s">
        <v>11</v>
      </c>
      <c r="D8377" s="5" t="s">
        <v>12</v>
      </c>
      <c r="E8377" s="5" t="s">
        <v>3962</v>
      </c>
    </row>
    <row r="8378" spans="1:5" x14ac:dyDescent="0.25">
      <c r="A8378" s="5">
        <f>8370</f>
      </c>
      <c r="B8378" s="5" t="s">
        <v>7620</v>
      </c>
      <c r="C8378" s="5" t="s">
        <v>11</v>
      </c>
      <c r="D8378" s="5" t="s">
        <v>12</v>
      </c>
      <c r="E8378" s="5" t="s">
        <v>3962</v>
      </c>
    </row>
    <row r="8379" spans="1:5" x14ac:dyDescent="0.25">
      <c r="A8379" s="5">
        <f>8371</f>
      </c>
      <c r="B8379" s="5" t="s">
        <v>7621</v>
      </c>
      <c r="C8379" s="5" t="s">
        <v>11</v>
      </c>
      <c r="D8379" s="5" t="s">
        <v>12</v>
      </c>
      <c r="E8379" s="5" t="s">
        <v>3962</v>
      </c>
    </row>
    <row r="8380" spans="1:5" x14ac:dyDescent="0.25">
      <c r="A8380" s="5">
        <f>8372</f>
      </c>
      <c r="B8380" s="5" t="s">
        <v>7622</v>
      </c>
      <c r="C8380" s="5" t="s">
        <v>11</v>
      </c>
      <c r="D8380" s="5" t="s">
        <v>12</v>
      </c>
      <c r="E8380" s="5" t="s">
        <v>3962</v>
      </c>
    </row>
    <row r="8381" spans="1:5" x14ac:dyDescent="0.25">
      <c r="A8381" s="5">
        <f>8373</f>
      </c>
      <c r="B8381" s="5" t="s">
        <v>7623</v>
      </c>
      <c r="C8381" s="5" t="s">
        <v>11</v>
      </c>
      <c r="D8381" s="5" t="s">
        <v>12</v>
      </c>
      <c r="E8381" s="5" t="s">
        <v>3962</v>
      </c>
    </row>
    <row r="8382" spans="1:5" x14ac:dyDescent="0.25">
      <c r="A8382" s="5">
        <f>8374</f>
      </c>
      <c r="B8382" s="5" t="s">
        <v>7624</v>
      </c>
      <c r="C8382" s="5" t="s">
        <v>11</v>
      </c>
      <c r="D8382" s="5" t="s">
        <v>12</v>
      </c>
      <c r="E8382" s="5" t="s">
        <v>3962</v>
      </c>
    </row>
    <row r="8383" spans="1:5" x14ac:dyDescent="0.25">
      <c r="A8383" s="5">
        <f>8375</f>
      </c>
      <c r="B8383" s="5" t="s">
        <v>7625</v>
      </c>
      <c r="C8383" s="5" t="s">
        <v>11</v>
      </c>
      <c r="D8383" s="5" t="s">
        <v>12</v>
      </c>
      <c r="E8383" s="5" t="s">
        <v>3962</v>
      </c>
    </row>
    <row r="8384" spans="1:5" x14ac:dyDescent="0.25">
      <c r="A8384" s="5">
        <f>8376</f>
      </c>
      <c r="B8384" s="5" t="s">
        <v>7626</v>
      </c>
      <c r="C8384" s="5" t="s">
        <v>11</v>
      </c>
      <c r="D8384" s="5" t="s">
        <v>12</v>
      </c>
      <c r="E8384" s="5" t="s">
        <v>3962</v>
      </c>
    </row>
    <row r="8385" spans="1:5" x14ac:dyDescent="0.25">
      <c r="A8385" s="5">
        <f>8377</f>
      </c>
      <c r="B8385" s="5" t="s">
        <v>7627</v>
      </c>
      <c r="C8385" s="5" t="s">
        <v>11</v>
      </c>
      <c r="D8385" s="5" t="s">
        <v>12</v>
      </c>
      <c r="E8385" s="5" t="s">
        <v>3962</v>
      </c>
    </row>
    <row r="8386" spans="1:5" x14ac:dyDescent="0.25">
      <c r="A8386" s="5">
        <f>8378</f>
      </c>
      <c r="B8386" s="5" t="s">
        <v>7628</v>
      </c>
      <c r="C8386" s="5" t="s">
        <v>11</v>
      </c>
      <c r="D8386" s="5" t="s">
        <v>12</v>
      </c>
      <c r="E8386" s="5" t="s">
        <v>3962</v>
      </c>
    </row>
    <row r="8387" spans="1:5" x14ac:dyDescent="0.25">
      <c r="A8387" s="5">
        <f>8379</f>
      </c>
      <c r="B8387" s="5" t="s">
        <v>7629</v>
      </c>
      <c r="C8387" s="5" t="s">
        <v>11</v>
      </c>
      <c r="D8387" s="5" t="s">
        <v>12</v>
      </c>
      <c r="E8387" s="5" t="s">
        <v>3962</v>
      </c>
    </row>
    <row r="8388" spans="1:5" x14ac:dyDescent="0.25">
      <c r="A8388" s="5">
        <f>8380</f>
      </c>
      <c r="B8388" s="5" t="s">
        <v>7630</v>
      </c>
      <c r="C8388" s="5" t="s">
        <v>11</v>
      </c>
      <c r="D8388" s="5" t="s">
        <v>12</v>
      </c>
      <c r="E8388" s="5" t="s">
        <v>3962</v>
      </c>
    </row>
    <row r="8389" spans="1:5" x14ac:dyDescent="0.25">
      <c r="A8389" s="5">
        <f>8381</f>
      </c>
      <c r="B8389" s="5" t="s">
        <v>7631</v>
      </c>
      <c r="C8389" s="5" t="s">
        <v>11</v>
      </c>
      <c r="D8389" s="5" t="s">
        <v>12</v>
      </c>
      <c r="E8389" s="5" t="s">
        <v>3962</v>
      </c>
    </row>
    <row r="8390" spans="1:5" x14ac:dyDescent="0.25">
      <c r="A8390" s="5">
        <f>8382</f>
      </c>
      <c r="B8390" s="5" t="s">
        <v>7632</v>
      </c>
      <c r="C8390" s="5" t="s">
        <v>11</v>
      </c>
      <c r="D8390" s="5" t="s">
        <v>12</v>
      </c>
      <c r="E8390" s="5" t="s">
        <v>3962</v>
      </c>
    </row>
    <row r="8391" spans="1:5" x14ac:dyDescent="0.25">
      <c r="A8391" s="5">
        <f>8383</f>
      </c>
      <c r="B8391" s="5" t="s">
        <v>7633</v>
      </c>
      <c r="C8391" s="5" t="s">
        <v>11</v>
      </c>
      <c r="D8391" s="5" t="s">
        <v>12</v>
      </c>
      <c r="E8391" s="5" t="s">
        <v>3962</v>
      </c>
    </row>
    <row r="8392" spans="1:5" x14ac:dyDescent="0.25">
      <c r="A8392" s="5">
        <f>8384</f>
      </c>
      <c r="B8392" s="5" t="s">
        <v>7634</v>
      </c>
      <c r="C8392" s="5" t="s">
        <v>11</v>
      </c>
      <c r="D8392" s="5" t="s">
        <v>12</v>
      </c>
      <c r="E8392" s="5" t="s">
        <v>3962</v>
      </c>
    </row>
    <row r="8393" spans="1:5" x14ac:dyDescent="0.25">
      <c r="A8393" s="5">
        <f>8385</f>
      </c>
      <c r="B8393" s="5" t="s">
        <v>7635</v>
      </c>
      <c r="C8393" s="5" t="s">
        <v>11</v>
      </c>
      <c r="D8393" s="5" t="s">
        <v>12</v>
      </c>
      <c r="E8393" s="5" t="s">
        <v>3962</v>
      </c>
    </row>
    <row r="8394" spans="1:5" x14ac:dyDescent="0.25">
      <c r="A8394" s="5">
        <f>8386</f>
      </c>
      <c r="B8394" s="5" t="s">
        <v>7636</v>
      </c>
      <c r="C8394" s="5" t="s">
        <v>11</v>
      </c>
      <c r="D8394" s="5" t="s">
        <v>12</v>
      </c>
      <c r="E8394" s="5" t="s">
        <v>3962</v>
      </c>
    </row>
    <row r="8395" spans="1:5" x14ac:dyDescent="0.25">
      <c r="A8395" s="5">
        <f>8387</f>
      </c>
      <c r="B8395" s="5" t="s">
        <v>7637</v>
      </c>
      <c r="C8395" s="5" t="s">
        <v>11</v>
      </c>
      <c r="D8395" s="5" t="s">
        <v>12</v>
      </c>
      <c r="E8395" s="5" t="s">
        <v>3962</v>
      </c>
    </row>
    <row r="8396" spans="1:5" x14ac:dyDescent="0.25">
      <c r="A8396" s="5">
        <f>8388</f>
      </c>
      <c r="B8396" s="5" t="s">
        <v>7638</v>
      </c>
      <c r="C8396" s="5" t="s">
        <v>11</v>
      </c>
      <c r="D8396" s="5" t="s">
        <v>12</v>
      </c>
      <c r="E8396" s="5" t="s">
        <v>3962</v>
      </c>
    </row>
    <row r="8397" spans="1:5" x14ac:dyDescent="0.25">
      <c r="A8397" s="5">
        <f>8389</f>
      </c>
      <c r="B8397" s="5" t="s">
        <v>7639</v>
      </c>
      <c r="C8397" s="5" t="s">
        <v>11</v>
      </c>
      <c r="D8397" s="5" t="s">
        <v>12</v>
      </c>
      <c r="E8397" s="5" t="s">
        <v>3962</v>
      </c>
    </row>
    <row r="8398" spans="1:5" x14ac:dyDescent="0.25">
      <c r="A8398" s="5">
        <f>8390</f>
      </c>
      <c r="B8398" s="5" t="s">
        <v>7640</v>
      </c>
      <c r="C8398" s="5" t="s">
        <v>11</v>
      </c>
      <c r="D8398" s="5" t="s">
        <v>12</v>
      </c>
      <c r="E8398" s="5" t="s">
        <v>3962</v>
      </c>
    </row>
    <row r="8399" spans="1:5" x14ac:dyDescent="0.25">
      <c r="A8399" s="5">
        <f>8391</f>
      </c>
      <c r="B8399" s="5" t="s">
        <v>7641</v>
      </c>
      <c r="C8399" s="5" t="s">
        <v>11</v>
      </c>
      <c r="D8399" s="5" t="s">
        <v>12</v>
      </c>
      <c r="E8399" s="5" t="s">
        <v>3962</v>
      </c>
    </row>
    <row r="8400" spans="1:5" x14ac:dyDescent="0.25">
      <c r="A8400" s="5">
        <f>8392</f>
      </c>
      <c r="B8400" s="5" t="s">
        <v>7642</v>
      </c>
      <c r="C8400" s="5" t="s">
        <v>11</v>
      </c>
      <c r="D8400" s="5" t="s">
        <v>12</v>
      </c>
      <c r="E8400" s="5" t="s">
        <v>3962</v>
      </c>
    </row>
    <row r="8401" spans="1:5" x14ac:dyDescent="0.25">
      <c r="A8401" s="5">
        <f>8393</f>
      </c>
      <c r="B8401" s="5" t="s">
        <v>7643</v>
      </c>
      <c r="C8401" s="5" t="s">
        <v>11</v>
      </c>
      <c r="D8401" s="5" t="s">
        <v>12</v>
      </c>
      <c r="E8401" s="5" t="s">
        <v>3962</v>
      </c>
    </row>
    <row r="8402" spans="1:5" x14ac:dyDescent="0.25">
      <c r="A8402" s="5">
        <f>8394</f>
      </c>
      <c r="B8402" s="5" t="s">
        <v>7644</v>
      </c>
      <c r="C8402" s="5" t="s">
        <v>11</v>
      </c>
      <c r="D8402" s="5" t="s">
        <v>12</v>
      </c>
      <c r="E8402" s="5" t="s">
        <v>3962</v>
      </c>
    </row>
    <row r="8403" spans="1:5" x14ac:dyDescent="0.25">
      <c r="A8403" s="5">
        <f>8395</f>
      </c>
      <c r="B8403" s="5" t="s">
        <v>7645</v>
      </c>
      <c r="C8403" s="5" t="s">
        <v>11</v>
      </c>
      <c r="D8403" s="5" t="s">
        <v>12</v>
      </c>
      <c r="E8403" s="5" t="s">
        <v>3962</v>
      </c>
    </row>
    <row r="8404" spans="1:5" x14ac:dyDescent="0.25">
      <c r="A8404" s="5">
        <f>8396</f>
      </c>
      <c r="B8404" s="5" t="s">
        <v>7646</v>
      </c>
      <c r="C8404" s="5" t="s">
        <v>11</v>
      </c>
      <c r="D8404" s="5" t="s">
        <v>12</v>
      </c>
      <c r="E8404" s="5" t="s">
        <v>3962</v>
      </c>
    </row>
    <row r="8405" spans="1:5" x14ac:dyDescent="0.25">
      <c r="A8405" s="5">
        <f>8397</f>
      </c>
      <c r="B8405" s="5" t="s">
        <v>7647</v>
      </c>
      <c r="C8405" s="5" t="s">
        <v>11</v>
      </c>
      <c r="D8405" s="5" t="s">
        <v>12</v>
      </c>
      <c r="E8405" s="5" t="s">
        <v>3962</v>
      </c>
    </row>
    <row r="8406" spans="1:5" x14ac:dyDescent="0.25">
      <c r="A8406" s="5">
        <f>8398</f>
      </c>
      <c r="B8406" s="5" t="s">
        <v>7648</v>
      </c>
      <c r="C8406" s="5" t="s">
        <v>11</v>
      </c>
      <c r="D8406" s="5" t="s">
        <v>12</v>
      </c>
      <c r="E8406" s="5" t="s">
        <v>3962</v>
      </c>
    </row>
    <row r="8407" spans="1:5" x14ac:dyDescent="0.25">
      <c r="A8407" s="5">
        <f>8399</f>
      </c>
      <c r="B8407" s="5" t="s">
        <v>7649</v>
      </c>
      <c r="C8407" s="5" t="s">
        <v>11</v>
      </c>
      <c r="D8407" s="5" t="s">
        <v>12</v>
      </c>
      <c r="E8407" s="5" t="s">
        <v>3962</v>
      </c>
    </row>
    <row r="8408" spans="1:5" x14ac:dyDescent="0.25">
      <c r="A8408" s="5">
        <f>8400</f>
      </c>
      <c r="B8408" s="5" t="s">
        <v>7650</v>
      </c>
      <c r="C8408" s="5" t="s">
        <v>11</v>
      </c>
      <c r="D8408" s="5" t="s">
        <v>12</v>
      </c>
      <c r="E8408" s="5" t="s">
        <v>3962</v>
      </c>
    </row>
    <row r="8409" spans="1:5" x14ac:dyDescent="0.25">
      <c r="A8409" s="5">
        <f>8401</f>
      </c>
      <c r="B8409" s="5" t="s">
        <v>7651</v>
      </c>
      <c r="C8409" s="5" t="s">
        <v>11</v>
      </c>
      <c r="D8409" s="5" t="s">
        <v>12</v>
      </c>
      <c r="E8409" s="5" t="s">
        <v>3962</v>
      </c>
    </row>
    <row r="8410" spans="1:5" x14ac:dyDescent="0.25">
      <c r="A8410" s="5">
        <f>8402</f>
      </c>
      <c r="B8410" s="5" t="s">
        <v>7652</v>
      </c>
      <c r="C8410" s="5" t="s">
        <v>11</v>
      </c>
      <c r="D8410" s="5" t="s">
        <v>12</v>
      </c>
      <c r="E8410" s="5" t="s">
        <v>3962</v>
      </c>
    </row>
    <row r="8411" spans="1:5" x14ac:dyDescent="0.25">
      <c r="A8411" s="5">
        <f>8403</f>
      </c>
      <c r="B8411" s="5" t="s">
        <v>7653</v>
      </c>
      <c r="C8411" s="5" t="s">
        <v>11</v>
      </c>
      <c r="D8411" s="5" t="s">
        <v>12</v>
      </c>
      <c r="E8411" s="5" t="s">
        <v>3962</v>
      </c>
    </row>
    <row r="8412" spans="1:5" x14ac:dyDescent="0.25">
      <c r="A8412" s="5">
        <f>8404</f>
      </c>
      <c r="B8412" s="5" t="s">
        <v>7654</v>
      </c>
      <c r="C8412" s="5" t="s">
        <v>11</v>
      </c>
      <c r="D8412" s="5" t="s">
        <v>12</v>
      </c>
      <c r="E8412" s="5" t="s">
        <v>3962</v>
      </c>
    </row>
    <row r="8413" spans="1:5" x14ac:dyDescent="0.25">
      <c r="A8413" s="5">
        <f>8405</f>
      </c>
      <c r="B8413" s="5" t="s">
        <v>7655</v>
      </c>
      <c r="C8413" s="5" t="s">
        <v>11</v>
      </c>
      <c r="D8413" s="5" t="s">
        <v>12</v>
      </c>
      <c r="E8413" s="5" t="s">
        <v>3962</v>
      </c>
    </row>
    <row r="8414" spans="1:5" x14ac:dyDescent="0.25">
      <c r="A8414" s="5">
        <f>8406</f>
      </c>
      <c r="B8414" s="5" t="s">
        <v>7656</v>
      </c>
      <c r="C8414" s="5" t="s">
        <v>11</v>
      </c>
      <c r="D8414" s="5" t="s">
        <v>12</v>
      </c>
      <c r="E8414" s="5" t="s">
        <v>3962</v>
      </c>
    </row>
    <row r="8415" spans="1:5" x14ac:dyDescent="0.25">
      <c r="A8415" s="5">
        <f>8407</f>
      </c>
      <c r="B8415" s="5" t="s">
        <v>7657</v>
      </c>
      <c r="C8415" s="5" t="s">
        <v>11</v>
      </c>
      <c r="D8415" s="5" t="s">
        <v>12</v>
      </c>
      <c r="E8415" s="5" t="s">
        <v>3962</v>
      </c>
    </row>
    <row r="8416" spans="1:5" x14ac:dyDescent="0.25">
      <c r="A8416" s="5">
        <f>8408</f>
      </c>
      <c r="B8416" s="5" t="s">
        <v>7658</v>
      </c>
      <c r="C8416" s="5" t="s">
        <v>11</v>
      </c>
      <c r="D8416" s="5" t="s">
        <v>12</v>
      </c>
      <c r="E8416" s="5" t="s">
        <v>3962</v>
      </c>
    </row>
    <row r="8417" spans="1:5" x14ac:dyDescent="0.25">
      <c r="A8417" s="5">
        <f>8409</f>
      </c>
      <c r="B8417" s="5" t="s">
        <v>7659</v>
      </c>
      <c r="C8417" s="5" t="s">
        <v>11</v>
      </c>
      <c r="D8417" s="5" t="s">
        <v>12</v>
      </c>
      <c r="E8417" s="5" t="s">
        <v>3962</v>
      </c>
    </row>
    <row r="8418" spans="1:5" x14ac:dyDescent="0.25">
      <c r="A8418" s="5">
        <f>8410</f>
      </c>
      <c r="B8418" s="5" t="s">
        <v>7660</v>
      </c>
      <c r="C8418" s="5" t="s">
        <v>11</v>
      </c>
      <c r="D8418" s="5" t="s">
        <v>12</v>
      </c>
      <c r="E8418" s="5" t="s">
        <v>3962</v>
      </c>
    </row>
    <row r="8419" spans="1:5" x14ac:dyDescent="0.25">
      <c r="A8419" s="5">
        <f>8411</f>
      </c>
      <c r="B8419" s="5" t="s">
        <v>7661</v>
      </c>
      <c r="C8419" s="5" t="s">
        <v>11</v>
      </c>
      <c r="D8419" s="5" t="s">
        <v>12</v>
      </c>
      <c r="E8419" s="5" t="s">
        <v>3962</v>
      </c>
    </row>
    <row r="8420" spans="1:5" x14ac:dyDescent="0.25">
      <c r="A8420" s="5">
        <f>8412</f>
      </c>
      <c r="B8420" s="5" t="s">
        <v>7662</v>
      </c>
      <c r="C8420" s="5" t="s">
        <v>11</v>
      </c>
      <c r="D8420" s="5" t="s">
        <v>12</v>
      </c>
      <c r="E8420" s="5" t="s">
        <v>3962</v>
      </c>
    </row>
    <row r="8421" spans="1:5" x14ac:dyDescent="0.25">
      <c r="A8421" s="5">
        <f>8413</f>
      </c>
      <c r="B8421" s="5" t="s">
        <v>7663</v>
      </c>
      <c r="C8421" s="5" t="s">
        <v>11</v>
      </c>
      <c r="D8421" s="5" t="s">
        <v>12</v>
      </c>
      <c r="E8421" s="5" t="s">
        <v>3962</v>
      </c>
    </row>
    <row r="8422" spans="1:5" x14ac:dyDescent="0.25">
      <c r="A8422" s="5">
        <f>8414</f>
      </c>
      <c r="B8422" s="5" t="s">
        <v>7664</v>
      </c>
      <c r="C8422" s="5" t="s">
        <v>11</v>
      </c>
      <c r="D8422" s="5" t="s">
        <v>12</v>
      </c>
      <c r="E8422" s="5" t="s">
        <v>3962</v>
      </c>
    </row>
    <row r="8423" spans="1:5" x14ac:dyDescent="0.25">
      <c r="A8423" s="5">
        <f>8415</f>
      </c>
      <c r="B8423" s="5" t="s">
        <v>7665</v>
      </c>
      <c r="C8423" s="5" t="s">
        <v>11</v>
      </c>
      <c r="D8423" s="5" t="s">
        <v>12</v>
      </c>
      <c r="E8423" s="5" t="s">
        <v>3962</v>
      </c>
    </row>
    <row r="8424" spans="1:5" x14ac:dyDescent="0.25">
      <c r="A8424" s="5">
        <f>8416</f>
      </c>
      <c r="B8424" s="5" t="s">
        <v>7666</v>
      </c>
      <c r="C8424" s="5" t="s">
        <v>11</v>
      </c>
      <c r="D8424" s="5" t="s">
        <v>12</v>
      </c>
      <c r="E8424" s="5" t="s">
        <v>3962</v>
      </c>
    </row>
    <row r="8425" spans="1:5" x14ac:dyDescent="0.25">
      <c r="A8425" s="5">
        <f>8417</f>
      </c>
      <c r="B8425" s="5" t="s">
        <v>7667</v>
      </c>
      <c r="C8425" s="5" t="s">
        <v>11</v>
      </c>
      <c r="D8425" s="5" t="s">
        <v>12</v>
      </c>
      <c r="E8425" s="5" t="s">
        <v>3962</v>
      </c>
    </row>
    <row r="8426" spans="1:5" x14ac:dyDescent="0.25">
      <c r="A8426" s="5">
        <f>8418</f>
      </c>
      <c r="B8426" s="5" t="s">
        <v>7668</v>
      </c>
      <c r="C8426" s="5" t="s">
        <v>11</v>
      </c>
      <c r="D8426" s="5" t="s">
        <v>12</v>
      </c>
      <c r="E8426" s="5" t="s">
        <v>3962</v>
      </c>
    </row>
    <row r="8427" spans="1:5" x14ac:dyDescent="0.25">
      <c r="A8427" s="5">
        <f>8419</f>
      </c>
      <c r="B8427" s="5" t="s">
        <v>7669</v>
      </c>
      <c r="C8427" s="5" t="s">
        <v>11</v>
      </c>
      <c r="D8427" s="5" t="s">
        <v>12</v>
      </c>
      <c r="E8427" s="5" t="s">
        <v>3962</v>
      </c>
    </row>
    <row r="8428" spans="1:5" x14ac:dyDescent="0.25">
      <c r="A8428" s="5">
        <f>8420</f>
      </c>
      <c r="B8428" s="5" t="s">
        <v>7670</v>
      </c>
      <c r="C8428" s="5" t="s">
        <v>11</v>
      </c>
      <c r="D8428" s="5" t="s">
        <v>12</v>
      </c>
      <c r="E8428" s="5" t="s">
        <v>3962</v>
      </c>
    </row>
    <row r="8429" spans="1:5" x14ac:dyDescent="0.25">
      <c r="A8429" s="5">
        <f>8421</f>
      </c>
      <c r="B8429" s="5" t="s">
        <v>7671</v>
      </c>
      <c r="C8429" s="5" t="s">
        <v>11</v>
      </c>
      <c r="D8429" s="5" t="s">
        <v>12</v>
      </c>
      <c r="E8429" s="5" t="s">
        <v>3962</v>
      </c>
    </row>
    <row r="8430" spans="1:5" x14ac:dyDescent="0.25">
      <c r="A8430" s="5">
        <f>8422</f>
      </c>
      <c r="B8430" s="5" t="s">
        <v>7672</v>
      </c>
      <c r="C8430" s="5" t="s">
        <v>11</v>
      </c>
      <c r="D8430" s="5" t="s">
        <v>12</v>
      </c>
      <c r="E8430" s="5" t="s">
        <v>3962</v>
      </c>
    </row>
    <row r="8431" spans="1:5" x14ac:dyDescent="0.25">
      <c r="A8431" s="5">
        <f>8423</f>
      </c>
      <c r="B8431" s="5" t="s">
        <v>7673</v>
      </c>
      <c r="C8431" s="5" t="s">
        <v>11</v>
      </c>
      <c r="D8431" s="5" t="s">
        <v>12</v>
      </c>
      <c r="E8431" s="5" t="s">
        <v>3962</v>
      </c>
    </row>
    <row r="8432" spans="1:5" x14ac:dyDescent="0.25">
      <c r="A8432" s="5">
        <f>8424</f>
      </c>
      <c r="B8432" s="5" t="s">
        <v>7674</v>
      </c>
      <c r="C8432" s="5" t="s">
        <v>11</v>
      </c>
      <c r="D8432" s="5" t="s">
        <v>12</v>
      </c>
      <c r="E8432" s="5" t="s">
        <v>3962</v>
      </c>
    </row>
    <row r="8433" spans="1:5" x14ac:dyDescent="0.25">
      <c r="A8433" s="5">
        <f>8425</f>
      </c>
      <c r="B8433" s="5" t="s">
        <v>7675</v>
      </c>
      <c r="C8433" s="5" t="s">
        <v>11</v>
      </c>
      <c r="D8433" s="5" t="s">
        <v>12</v>
      </c>
      <c r="E8433" s="5" t="s">
        <v>3962</v>
      </c>
    </row>
    <row r="8434" spans="1:5" x14ac:dyDescent="0.25">
      <c r="A8434" s="5">
        <f>8426</f>
      </c>
      <c r="B8434" s="5" t="s">
        <v>7676</v>
      </c>
      <c r="C8434" s="5" t="s">
        <v>11</v>
      </c>
      <c r="D8434" s="5" t="s">
        <v>12</v>
      </c>
      <c r="E8434" s="5" t="s">
        <v>3962</v>
      </c>
    </row>
    <row r="8435" spans="1:5" x14ac:dyDescent="0.25">
      <c r="A8435" s="5">
        <f>8427</f>
      </c>
      <c r="B8435" s="5" t="s">
        <v>7677</v>
      </c>
      <c r="C8435" s="5" t="s">
        <v>11</v>
      </c>
      <c r="D8435" s="5" t="s">
        <v>12</v>
      </c>
      <c r="E8435" s="5" t="s">
        <v>3962</v>
      </c>
    </row>
    <row r="8436" spans="1:5" x14ac:dyDescent="0.25">
      <c r="A8436" s="5">
        <f>8428</f>
      </c>
      <c r="B8436" s="5" t="s">
        <v>7678</v>
      </c>
      <c r="C8436" s="5" t="s">
        <v>11</v>
      </c>
      <c r="D8436" s="5" t="s">
        <v>12</v>
      </c>
      <c r="E8436" s="5" t="s">
        <v>3962</v>
      </c>
    </row>
    <row r="8437" spans="1:5" x14ac:dyDescent="0.25">
      <c r="A8437" s="5">
        <f>8429</f>
      </c>
      <c r="B8437" s="5" t="s">
        <v>7679</v>
      </c>
      <c r="C8437" s="5" t="s">
        <v>11</v>
      </c>
      <c r="D8437" s="5" t="s">
        <v>12</v>
      </c>
      <c r="E8437" s="5" t="s">
        <v>3962</v>
      </c>
    </row>
    <row r="8438" spans="1:5" x14ac:dyDescent="0.25">
      <c r="A8438" s="5">
        <f>8430</f>
      </c>
      <c r="B8438" s="5" t="s">
        <v>7680</v>
      </c>
      <c r="C8438" s="5" t="s">
        <v>11</v>
      </c>
      <c r="D8438" s="5" t="s">
        <v>12</v>
      </c>
      <c r="E8438" s="5" t="s">
        <v>3962</v>
      </c>
    </row>
    <row r="8439" spans="1:5" x14ac:dyDescent="0.25">
      <c r="A8439" s="5">
        <f>8431</f>
      </c>
      <c r="B8439" s="5" t="s">
        <v>7681</v>
      </c>
      <c r="C8439" s="5" t="s">
        <v>11</v>
      </c>
      <c r="D8439" s="5" t="s">
        <v>12</v>
      </c>
      <c r="E8439" s="5" t="s">
        <v>3962</v>
      </c>
    </row>
    <row r="8440" spans="1:5" x14ac:dyDescent="0.25">
      <c r="A8440" s="5">
        <f>8432</f>
      </c>
      <c r="B8440" s="5" t="s">
        <v>7682</v>
      </c>
      <c r="C8440" s="5" t="s">
        <v>11</v>
      </c>
      <c r="D8440" s="5" t="s">
        <v>12</v>
      </c>
      <c r="E8440" s="5" t="s">
        <v>3962</v>
      </c>
    </row>
    <row r="8441" spans="1:5" x14ac:dyDescent="0.25">
      <c r="A8441" s="5">
        <f>8433</f>
      </c>
      <c r="B8441" s="5" t="s">
        <v>7683</v>
      </c>
      <c r="C8441" s="5" t="s">
        <v>11</v>
      </c>
      <c r="D8441" s="5" t="s">
        <v>12</v>
      </c>
      <c r="E8441" s="5" t="s">
        <v>3962</v>
      </c>
    </row>
    <row r="8442" spans="1:5" x14ac:dyDescent="0.25">
      <c r="A8442" s="5">
        <f>8434</f>
      </c>
      <c r="B8442" s="5" t="s">
        <v>7684</v>
      </c>
      <c r="C8442" s="5" t="s">
        <v>11</v>
      </c>
      <c r="D8442" s="5" t="s">
        <v>12</v>
      </c>
      <c r="E8442" s="5" t="s">
        <v>3962</v>
      </c>
    </row>
    <row r="8443" spans="1:5" x14ac:dyDescent="0.25">
      <c r="A8443" s="5">
        <f>8435</f>
      </c>
      <c r="B8443" s="5" t="s">
        <v>7685</v>
      </c>
      <c r="C8443" s="5" t="s">
        <v>11</v>
      </c>
      <c r="D8443" s="5" t="s">
        <v>12</v>
      </c>
      <c r="E8443" s="5" t="s">
        <v>3962</v>
      </c>
    </row>
    <row r="8444" spans="1:5" x14ac:dyDescent="0.25">
      <c r="A8444" s="5">
        <f>8436</f>
      </c>
      <c r="B8444" s="5" t="s">
        <v>7686</v>
      </c>
      <c r="C8444" s="5" t="s">
        <v>11</v>
      </c>
      <c r="D8444" s="5" t="s">
        <v>12</v>
      </c>
      <c r="E8444" s="5" t="s">
        <v>3962</v>
      </c>
    </row>
    <row r="8445" spans="1:5" x14ac:dyDescent="0.25">
      <c r="A8445" s="5">
        <f>8437</f>
      </c>
      <c r="B8445" s="5" t="s">
        <v>7687</v>
      </c>
      <c r="C8445" s="5" t="s">
        <v>11</v>
      </c>
      <c r="D8445" s="5" t="s">
        <v>12</v>
      </c>
      <c r="E8445" s="5" t="s">
        <v>3962</v>
      </c>
    </row>
    <row r="8446" spans="1:5" x14ac:dyDescent="0.25">
      <c r="A8446" s="5">
        <f>8438</f>
      </c>
      <c r="B8446" s="5" t="s">
        <v>7688</v>
      </c>
      <c r="C8446" s="5" t="s">
        <v>11</v>
      </c>
      <c r="D8446" s="5" t="s">
        <v>12</v>
      </c>
      <c r="E8446" s="5" t="s">
        <v>3962</v>
      </c>
    </row>
    <row r="8447" spans="1:5" x14ac:dyDescent="0.25">
      <c r="A8447" s="5">
        <f>8439</f>
      </c>
      <c r="B8447" s="5" t="s">
        <v>7689</v>
      </c>
      <c r="C8447" s="5" t="s">
        <v>11</v>
      </c>
      <c r="D8447" s="5" t="s">
        <v>12</v>
      </c>
      <c r="E8447" s="5" t="s">
        <v>3962</v>
      </c>
    </row>
    <row r="8448" spans="1:5" x14ac:dyDescent="0.25">
      <c r="A8448" s="5">
        <f>8440</f>
      </c>
      <c r="B8448" s="5" t="s">
        <v>7690</v>
      </c>
      <c r="C8448" s="5" t="s">
        <v>11</v>
      </c>
      <c r="D8448" s="5" t="s">
        <v>12</v>
      </c>
      <c r="E8448" s="5" t="s">
        <v>3962</v>
      </c>
    </row>
    <row r="8449" spans="1:5" x14ac:dyDescent="0.25">
      <c r="A8449" s="5">
        <f>8441</f>
      </c>
      <c r="B8449" s="5" t="s">
        <v>7691</v>
      </c>
      <c r="C8449" s="5" t="s">
        <v>11</v>
      </c>
      <c r="D8449" s="5" t="s">
        <v>12</v>
      </c>
      <c r="E8449" s="5" t="s">
        <v>3962</v>
      </c>
    </row>
    <row r="8450" spans="1:5" x14ac:dyDescent="0.25">
      <c r="A8450" s="5">
        <f>8442</f>
      </c>
      <c r="B8450" s="5" t="s">
        <v>7692</v>
      </c>
      <c r="C8450" s="5" t="s">
        <v>11</v>
      </c>
      <c r="D8450" s="5" t="s">
        <v>12</v>
      </c>
      <c r="E8450" s="5" t="s">
        <v>3962</v>
      </c>
    </row>
    <row r="8451" spans="1:5" x14ac:dyDescent="0.25">
      <c r="A8451" s="5">
        <f>8443</f>
      </c>
      <c r="B8451" s="5" t="s">
        <v>7693</v>
      </c>
      <c r="C8451" s="5" t="s">
        <v>11</v>
      </c>
      <c r="D8451" s="5" t="s">
        <v>12</v>
      </c>
      <c r="E8451" s="5" t="s">
        <v>3962</v>
      </c>
    </row>
    <row r="8452" spans="1:5" x14ac:dyDescent="0.25">
      <c r="A8452" s="5">
        <f>8444</f>
      </c>
      <c r="B8452" s="5" t="s">
        <v>7694</v>
      </c>
      <c r="C8452" s="5" t="s">
        <v>11</v>
      </c>
      <c r="D8452" s="5" t="s">
        <v>12</v>
      </c>
      <c r="E8452" s="5" t="s">
        <v>3962</v>
      </c>
    </row>
    <row r="8453" spans="1:5" x14ac:dyDescent="0.25">
      <c r="A8453" s="5">
        <f>8445</f>
      </c>
      <c r="B8453" s="5" t="s">
        <v>7695</v>
      </c>
      <c r="C8453" s="5" t="s">
        <v>11</v>
      </c>
      <c r="D8453" s="5" t="s">
        <v>12</v>
      </c>
      <c r="E8453" s="5" t="s">
        <v>3962</v>
      </c>
    </row>
    <row r="8454" spans="1:5" x14ac:dyDescent="0.25">
      <c r="A8454" s="5">
        <f>8446</f>
      </c>
      <c r="B8454" s="5" t="s">
        <v>7696</v>
      </c>
      <c r="C8454" s="5" t="s">
        <v>11</v>
      </c>
      <c r="D8454" s="5" t="s">
        <v>12</v>
      </c>
      <c r="E8454" s="5" t="s">
        <v>3962</v>
      </c>
    </row>
    <row r="8455" spans="1:5" x14ac:dyDescent="0.25">
      <c r="A8455" s="5">
        <f>8447</f>
      </c>
      <c r="B8455" s="5" t="s">
        <v>7697</v>
      </c>
      <c r="C8455" s="5" t="s">
        <v>11</v>
      </c>
      <c r="D8455" s="5" t="s">
        <v>12</v>
      </c>
      <c r="E8455" s="5" t="s">
        <v>3962</v>
      </c>
    </row>
    <row r="8456" spans="1:5" x14ac:dyDescent="0.25">
      <c r="A8456" s="5">
        <f>8448</f>
      </c>
      <c r="B8456" s="5" t="s">
        <v>7698</v>
      </c>
      <c r="C8456" s="5" t="s">
        <v>11</v>
      </c>
      <c r="D8456" s="5" t="s">
        <v>12</v>
      </c>
      <c r="E8456" s="5" t="s">
        <v>3962</v>
      </c>
    </row>
    <row r="8457" spans="1:5" x14ac:dyDescent="0.25">
      <c r="A8457" s="5">
        <f>8449</f>
      </c>
      <c r="B8457" s="5" t="s">
        <v>7699</v>
      </c>
      <c r="C8457" s="5" t="s">
        <v>11</v>
      </c>
      <c r="D8457" s="5" t="s">
        <v>12</v>
      </c>
      <c r="E8457" s="5" t="s">
        <v>3962</v>
      </c>
    </row>
    <row r="8458" spans="1:5" x14ac:dyDescent="0.25">
      <c r="A8458" s="5">
        <f>8450</f>
      </c>
      <c r="B8458" s="5" t="s">
        <v>7700</v>
      </c>
      <c r="C8458" s="5" t="s">
        <v>11</v>
      </c>
      <c r="D8458" s="5" t="s">
        <v>12</v>
      </c>
      <c r="E8458" s="5" t="s">
        <v>3962</v>
      </c>
    </row>
    <row r="8459" spans="1:5" x14ac:dyDescent="0.25">
      <c r="A8459" s="5">
        <f>8451</f>
      </c>
      <c r="B8459" s="5" t="s">
        <v>7701</v>
      </c>
      <c r="C8459" s="5" t="s">
        <v>11</v>
      </c>
      <c r="D8459" s="5" t="s">
        <v>12</v>
      </c>
      <c r="E8459" s="5" t="s">
        <v>3962</v>
      </c>
    </row>
    <row r="8460" spans="1:5" x14ac:dyDescent="0.25">
      <c r="A8460" s="5">
        <f>8452</f>
      </c>
      <c r="B8460" s="5" t="s">
        <v>7702</v>
      </c>
      <c r="C8460" s="5" t="s">
        <v>11</v>
      </c>
      <c r="D8460" s="5" t="s">
        <v>12</v>
      </c>
      <c r="E8460" s="5" t="s">
        <v>3962</v>
      </c>
    </row>
    <row r="8461" spans="1:5" x14ac:dyDescent="0.25">
      <c r="A8461" s="5">
        <f>8453</f>
      </c>
      <c r="B8461" s="5" t="s">
        <v>7703</v>
      </c>
      <c r="C8461" s="5" t="s">
        <v>11</v>
      </c>
      <c r="D8461" s="5" t="s">
        <v>12</v>
      </c>
      <c r="E8461" s="5" t="s">
        <v>3962</v>
      </c>
    </row>
    <row r="8462" spans="1:5" x14ac:dyDescent="0.25">
      <c r="A8462" s="5">
        <f>8454</f>
      </c>
      <c r="B8462" s="5" t="s">
        <v>7704</v>
      </c>
      <c r="C8462" s="5" t="s">
        <v>11</v>
      </c>
      <c r="D8462" s="5" t="s">
        <v>12</v>
      </c>
      <c r="E8462" s="5" t="s">
        <v>3962</v>
      </c>
    </row>
    <row r="8463" spans="1:5" x14ac:dyDescent="0.25">
      <c r="A8463" s="5">
        <f>8455</f>
      </c>
      <c r="B8463" s="5" t="s">
        <v>7705</v>
      </c>
      <c r="C8463" s="5" t="s">
        <v>11</v>
      </c>
      <c r="D8463" s="5" t="s">
        <v>12</v>
      </c>
      <c r="E8463" s="5" t="s">
        <v>3962</v>
      </c>
    </row>
    <row r="8464" spans="1:5" x14ac:dyDescent="0.25">
      <c r="A8464" s="5">
        <f>8456</f>
      </c>
      <c r="B8464" s="5" t="s">
        <v>7706</v>
      </c>
      <c r="C8464" s="5" t="s">
        <v>11</v>
      </c>
      <c r="D8464" s="5" t="s">
        <v>12</v>
      </c>
      <c r="E8464" s="5" t="s">
        <v>3962</v>
      </c>
    </row>
    <row r="8465" spans="1:5" x14ac:dyDescent="0.25">
      <c r="A8465" s="5">
        <f>8457</f>
      </c>
      <c r="B8465" s="5" t="s">
        <v>7707</v>
      </c>
      <c r="C8465" s="5" t="s">
        <v>11</v>
      </c>
      <c r="D8465" s="5" t="s">
        <v>12</v>
      </c>
      <c r="E8465" s="5" t="s">
        <v>3962</v>
      </c>
    </row>
    <row r="8466" spans="1:5" x14ac:dyDescent="0.25">
      <c r="A8466" s="5">
        <f>8458</f>
      </c>
      <c r="B8466" s="5" t="s">
        <v>7708</v>
      </c>
      <c r="C8466" s="5" t="s">
        <v>11</v>
      </c>
      <c r="D8466" s="5" t="s">
        <v>12</v>
      </c>
      <c r="E8466" s="5" t="s">
        <v>3962</v>
      </c>
    </row>
    <row r="8467" spans="1:5" x14ac:dyDescent="0.25">
      <c r="A8467" s="5">
        <f>8459</f>
      </c>
      <c r="B8467" s="5" t="s">
        <v>7709</v>
      </c>
      <c r="C8467" s="5" t="s">
        <v>11</v>
      </c>
      <c r="D8467" s="5" t="s">
        <v>12</v>
      </c>
      <c r="E8467" s="5" t="s">
        <v>3962</v>
      </c>
    </row>
    <row r="8468" spans="1:5" x14ac:dyDescent="0.25">
      <c r="A8468" s="5">
        <f>8460</f>
      </c>
      <c r="B8468" s="5" t="s">
        <v>7710</v>
      </c>
      <c r="C8468" s="5" t="s">
        <v>11</v>
      </c>
      <c r="D8468" s="5" t="s">
        <v>12</v>
      </c>
      <c r="E8468" s="5" t="s">
        <v>3962</v>
      </c>
    </row>
    <row r="8469" spans="1:5" x14ac:dyDescent="0.25">
      <c r="A8469" s="5">
        <f>8461</f>
      </c>
      <c r="B8469" s="5" t="s">
        <v>7711</v>
      </c>
      <c r="C8469" s="5" t="s">
        <v>11</v>
      </c>
      <c r="D8469" s="5" t="s">
        <v>12</v>
      </c>
      <c r="E8469" s="5" t="s">
        <v>3962</v>
      </c>
    </row>
    <row r="8470" spans="1:5" x14ac:dyDescent="0.25">
      <c r="A8470" s="5">
        <f>8462</f>
      </c>
      <c r="B8470" s="5" t="s">
        <v>7712</v>
      </c>
      <c r="C8470" s="5" t="s">
        <v>11</v>
      </c>
      <c r="D8470" s="5" t="s">
        <v>12</v>
      </c>
      <c r="E8470" s="5" t="s">
        <v>3962</v>
      </c>
    </row>
    <row r="8471" spans="1:5" x14ac:dyDescent="0.25">
      <c r="A8471" s="5">
        <f>8463</f>
      </c>
      <c r="B8471" s="5" t="s">
        <v>7713</v>
      </c>
      <c r="C8471" s="5" t="s">
        <v>11</v>
      </c>
      <c r="D8471" s="5" t="s">
        <v>12</v>
      </c>
      <c r="E8471" s="5" t="s">
        <v>3962</v>
      </c>
    </row>
    <row r="8472" spans="1:5" x14ac:dyDescent="0.25">
      <c r="A8472" s="5">
        <f>8464</f>
      </c>
      <c r="B8472" s="5" t="s">
        <v>7714</v>
      </c>
      <c r="C8472" s="5" t="s">
        <v>11</v>
      </c>
      <c r="D8472" s="5" t="s">
        <v>12</v>
      </c>
      <c r="E8472" s="5" t="s">
        <v>3962</v>
      </c>
    </row>
    <row r="8473" spans="1:5" x14ac:dyDescent="0.25">
      <c r="A8473" s="5">
        <f>8465</f>
      </c>
      <c r="B8473" s="5" t="s">
        <v>7715</v>
      </c>
      <c r="C8473" s="5" t="s">
        <v>11</v>
      </c>
      <c r="D8473" s="5" t="s">
        <v>12</v>
      </c>
      <c r="E8473" s="5" t="s">
        <v>3962</v>
      </c>
    </row>
    <row r="8474" spans="1:5" x14ac:dyDescent="0.25">
      <c r="A8474" s="5">
        <f>8466</f>
      </c>
      <c r="B8474" s="5" t="s">
        <v>7716</v>
      </c>
      <c r="C8474" s="5" t="s">
        <v>11</v>
      </c>
      <c r="D8474" s="5" t="s">
        <v>12</v>
      </c>
      <c r="E8474" s="5" t="s">
        <v>3962</v>
      </c>
    </row>
    <row r="8475" spans="1:5" x14ac:dyDescent="0.25">
      <c r="A8475" s="5">
        <f>8467</f>
      </c>
      <c r="B8475" s="5" t="s">
        <v>7717</v>
      </c>
      <c r="C8475" s="5" t="s">
        <v>11</v>
      </c>
      <c r="D8475" s="5" t="s">
        <v>12</v>
      </c>
      <c r="E8475" s="5" t="s">
        <v>3962</v>
      </c>
    </row>
    <row r="8476" spans="1:5" x14ac:dyDescent="0.25">
      <c r="A8476" s="5">
        <f>8468</f>
      </c>
      <c r="B8476" s="5" t="s">
        <v>7718</v>
      </c>
      <c r="C8476" s="5" t="s">
        <v>11</v>
      </c>
      <c r="D8476" s="5" t="s">
        <v>12</v>
      </c>
      <c r="E8476" s="5" t="s">
        <v>3962</v>
      </c>
    </row>
    <row r="8477" spans="1:5" x14ac:dyDescent="0.25">
      <c r="A8477" s="5">
        <f>8469</f>
      </c>
      <c r="B8477" s="5" t="s">
        <v>7719</v>
      </c>
      <c r="C8477" s="5" t="s">
        <v>11</v>
      </c>
      <c r="D8477" s="5" t="s">
        <v>12</v>
      </c>
      <c r="E8477" s="5" t="s">
        <v>3962</v>
      </c>
    </row>
    <row r="8478" spans="1:5" x14ac:dyDescent="0.25">
      <c r="A8478" s="5">
        <f>8470</f>
      </c>
      <c r="B8478" s="5" t="s">
        <v>7720</v>
      </c>
      <c r="C8478" s="5" t="s">
        <v>11</v>
      </c>
      <c r="D8478" s="5" t="s">
        <v>12</v>
      </c>
      <c r="E8478" s="5" t="s">
        <v>3962</v>
      </c>
    </row>
    <row r="8479" spans="1:5" x14ac:dyDescent="0.25">
      <c r="A8479" s="5">
        <f>8471</f>
      </c>
      <c r="B8479" s="5" t="s">
        <v>7721</v>
      </c>
      <c r="C8479" s="5" t="s">
        <v>11</v>
      </c>
      <c r="D8479" s="5" t="s">
        <v>12</v>
      </c>
      <c r="E8479" s="5" t="s">
        <v>3962</v>
      </c>
    </row>
    <row r="8480" spans="1:5" x14ac:dyDescent="0.25">
      <c r="A8480" s="5">
        <f>8472</f>
      </c>
      <c r="B8480" s="5" t="s">
        <v>7722</v>
      </c>
      <c r="C8480" s="5" t="s">
        <v>11</v>
      </c>
      <c r="D8480" s="5" t="s">
        <v>12</v>
      </c>
      <c r="E8480" s="5" t="s">
        <v>3962</v>
      </c>
    </row>
    <row r="8481" spans="1:5" x14ac:dyDescent="0.25">
      <c r="A8481" s="5">
        <f>8473</f>
      </c>
      <c r="B8481" s="5" t="s">
        <v>7723</v>
      </c>
      <c r="C8481" s="5" t="s">
        <v>11</v>
      </c>
      <c r="D8481" s="5" t="s">
        <v>12</v>
      </c>
      <c r="E8481" s="5" t="s">
        <v>3962</v>
      </c>
    </row>
    <row r="8482" spans="1:5" x14ac:dyDescent="0.25">
      <c r="A8482" s="5">
        <f>8474</f>
      </c>
      <c r="B8482" s="5" t="s">
        <v>7724</v>
      </c>
      <c r="C8482" s="5" t="s">
        <v>11</v>
      </c>
      <c r="D8482" s="5" t="s">
        <v>12</v>
      </c>
      <c r="E8482" s="5" t="s">
        <v>3962</v>
      </c>
    </row>
    <row r="8483" spans="1:5" x14ac:dyDescent="0.25">
      <c r="A8483" s="5">
        <f>8475</f>
      </c>
      <c r="B8483" s="5" t="s">
        <v>7725</v>
      </c>
      <c r="C8483" s="5" t="s">
        <v>11</v>
      </c>
      <c r="D8483" s="5" t="s">
        <v>12</v>
      </c>
      <c r="E8483" s="5" t="s">
        <v>3962</v>
      </c>
    </row>
    <row r="8484" spans="1:5" x14ac:dyDescent="0.25">
      <c r="A8484" s="5">
        <f>8476</f>
      </c>
      <c r="B8484" s="5" t="s">
        <v>7726</v>
      </c>
      <c r="C8484" s="5" t="s">
        <v>11</v>
      </c>
      <c r="D8484" s="5" t="s">
        <v>12</v>
      </c>
      <c r="E8484" s="5" t="s">
        <v>3962</v>
      </c>
    </row>
    <row r="8485" spans="1:5" x14ac:dyDescent="0.25">
      <c r="A8485" s="5">
        <f>8477</f>
      </c>
      <c r="B8485" s="5" t="s">
        <v>7727</v>
      </c>
      <c r="C8485" s="5" t="s">
        <v>11</v>
      </c>
      <c r="D8485" s="5" t="s">
        <v>12</v>
      </c>
      <c r="E8485" s="5" t="s">
        <v>3962</v>
      </c>
    </row>
    <row r="8486" spans="1:5" x14ac:dyDescent="0.25">
      <c r="A8486" s="5">
        <f>8478</f>
      </c>
      <c r="B8486" s="5" t="s">
        <v>7728</v>
      </c>
      <c r="C8486" s="5" t="s">
        <v>11</v>
      </c>
      <c r="D8486" s="5" t="s">
        <v>12</v>
      </c>
      <c r="E8486" s="5" t="s">
        <v>3962</v>
      </c>
    </row>
    <row r="8487" spans="1:5" x14ac:dyDescent="0.25">
      <c r="A8487" s="5">
        <f>8479</f>
      </c>
      <c r="B8487" s="5" t="s">
        <v>7729</v>
      </c>
      <c r="C8487" s="5" t="s">
        <v>11</v>
      </c>
      <c r="D8487" s="5" t="s">
        <v>12</v>
      </c>
      <c r="E8487" s="5" t="s">
        <v>3962</v>
      </c>
    </row>
    <row r="8488" spans="1:5" x14ac:dyDescent="0.25">
      <c r="A8488" s="5">
        <f>8480</f>
      </c>
      <c r="B8488" s="5" t="s">
        <v>7730</v>
      </c>
      <c r="C8488" s="5" t="s">
        <v>11</v>
      </c>
      <c r="D8488" s="5" t="s">
        <v>12</v>
      </c>
      <c r="E8488" s="5" t="s">
        <v>3962</v>
      </c>
    </row>
    <row r="8489" spans="1:5" x14ac:dyDescent="0.25">
      <c r="A8489" s="5">
        <f>8481</f>
      </c>
      <c r="B8489" s="5" t="s">
        <v>7731</v>
      </c>
      <c r="C8489" s="5" t="s">
        <v>11</v>
      </c>
      <c r="D8489" s="5" t="s">
        <v>12</v>
      </c>
      <c r="E8489" s="5" t="s">
        <v>3962</v>
      </c>
    </row>
    <row r="8490" spans="1:5" x14ac:dyDescent="0.25">
      <c r="A8490" s="5">
        <f>8482</f>
      </c>
      <c r="B8490" s="5" t="s">
        <v>7732</v>
      </c>
      <c r="C8490" s="5" t="s">
        <v>11</v>
      </c>
      <c r="D8490" s="5" t="s">
        <v>12</v>
      </c>
      <c r="E8490" s="5" t="s">
        <v>3962</v>
      </c>
    </row>
    <row r="8491" spans="1:5" x14ac:dyDescent="0.25">
      <c r="A8491" s="5">
        <f>8483</f>
      </c>
      <c r="B8491" s="5" t="s">
        <v>7733</v>
      </c>
      <c r="C8491" s="5" t="s">
        <v>11</v>
      </c>
      <c r="D8491" s="5" t="s">
        <v>12</v>
      </c>
      <c r="E8491" s="5" t="s">
        <v>3962</v>
      </c>
    </row>
    <row r="8492" spans="1:5" x14ac:dyDescent="0.25">
      <c r="A8492" s="5">
        <f>8484</f>
      </c>
      <c r="B8492" s="5" t="s">
        <v>7734</v>
      </c>
      <c r="C8492" s="5" t="s">
        <v>11</v>
      </c>
      <c r="D8492" s="5" t="s">
        <v>12</v>
      </c>
      <c r="E8492" s="5" t="s">
        <v>3962</v>
      </c>
    </row>
    <row r="8493" spans="1:5" x14ac:dyDescent="0.25">
      <c r="A8493" s="5">
        <f>8485</f>
      </c>
      <c r="B8493" s="5" t="s">
        <v>7735</v>
      </c>
      <c r="C8493" s="5" t="s">
        <v>11</v>
      </c>
      <c r="D8493" s="5" t="s">
        <v>12</v>
      </c>
      <c r="E8493" s="5" t="s">
        <v>3962</v>
      </c>
    </row>
    <row r="8494" spans="1:5" x14ac:dyDescent="0.25">
      <c r="A8494" s="5">
        <f>8486</f>
      </c>
      <c r="B8494" s="5" t="s">
        <v>7736</v>
      </c>
      <c r="C8494" s="5" t="s">
        <v>11</v>
      </c>
      <c r="D8494" s="5" t="s">
        <v>12</v>
      </c>
      <c r="E8494" s="5" t="s">
        <v>3962</v>
      </c>
    </row>
    <row r="8495" spans="1:5" x14ac:dyDescent="0.25">
      <c r="A8495" s="5">
        <f>8487</f>
      </c>
      <c r="B8495" s="5" t="s">
        <v>7737</v>
      </c>
      <c r="C8495" s="5" t="s">
        <v>11</v>
      </c>
      <c r="D8495" s="5" t="s">
        <v>12</v>
      </c>
      <c r="E8495" s="5" t="s">
        <v>3962</v>
      </c>
    </row>
    <row r="8496" spans="1:5" x14ac:dyDescent="0.25">
      <c r="A8496" s="5">
        <f>8488</f>
      </c>
      <c r="B8496" s="5" t="s">
        <v>7738</v>
      </c>
      <c r="C8496" s="5" t="s">
        <v>11</v>
      </c>
      <c r="D8496" s="5" t="s">
        <v>12</v>
      </c>
      <c r="E8496" s="5" t="s">
        <v>3962</v>
      </c>
    </row>
    <row r="8497" spans="1:5" x14ac:dyDescent="0.25">
      <c r="A8497" s="5">
        <f>8489</f>
      </c>
      <c r="B8497" s="5" t="s">
        <v>7739</v>
      </c>
      <c r="C8497" s="5" t="s">
        <v>11</v>
      </c>
      <c r="D8497" s="5" t="s">
        <v>12</v>
      </c>
      <c r="E8497" s="5" t="s">
        <v>3962</v>
      </c>
    </row>
    <row r="8498" spans="1:5" x14ac:dyDescent="0.25">
      <c r="A8498" s="5">
        <f>8490</f>
      </c>
      <c r="B8498" s="5" t="s">
        <v>7740</v>
      </c>
      <c r="C8498" s="5" t="s">
        <v>11</v>
      </c>
      <c r="D8498" s="5" t="s">
        <v>12</v>
      </c>
      <c r="E8498" s="5" t="s">
        <v>3962</v>
      </c>
    </row>
    <row r="8499" spans="1:5" x14ac:dyDescent="0.25">
      <c r="A8499" s="5">
        <f>8491</f>
      </c>
      <c r="B8499" s="5" t="s">
        <v>7741</v>
      </c>
      <c r="C8499" s="5" t="s">
        <v>11</v>
      </c>
      <c r="D8499" s="5" t="s">
        <v>12</v>
      </c>
      <c r="E8499" s="5" t="s">
        <v>3962</v>
      </c>
    </row>
    <row r="8500" spans="1:5" x14ac:dyDescent="0.25">
      <c r="A8500" s="5">
        <f>8492</f>
      </c>
      <c r="B8500" s="5" t="s">
        <v>7742</v>
      </c>
      <c r="C8500" s="5" t="s">
        <v>11</v>
      </c>
      <c r="D8500" s="5" t="s">
        <v>12</v>
      </c>
      <c r="E8500" s="5" t="s">
        <v>3962</v>
      </c>
    </row>
    <row r="8501" spans="1:5" x14ac:dyDescent="0.25">
      <c r="A8501" s="5">
        <f>8493</f>
      </c>
      <c r="B8501" s="5" t="s">
        <v>7743</v>
      </c>
      <c r="C8501" s="5" t="s">
        <v>11</v>
      </c>
      <c r="D8501" s="5" t="s">
        <v>12</v>
      </c>
      <c r="E8501" s="5" t="s">
        <v>3962</v>
      </c>
    </row>
    <row r="8502" spans="1:5" x14ac:dyDescent="0.25">
      <c r="A8502" s="5">
        <f>8494</f>
      </c>
      <c r="B8502" s="5" t="s">
        <v>7744</v>
      </c>
      <c r="C8502" s="5" t="s">
        <v>11</v>
      </c>
      <c r="D8502" s="5" t="s">
        <v>12</v>
      </c>
      <c r="E8502" s="5" t="s">
        <v>3962</v>
      </c>
    </row>
    <row r="8503" spans="1:5" x14ac:dyDescent="0.25">
      <c r="A8503" s="5">
        <f>8495</f>
      </c>
      <c r="B8503" s="5" t="s">
        <v>7745</v>
      </c>
      <c r="C8503" s="5" t="s">
        <v>11</v>
      </c>
      <c r="D8503" s="5" t="s">
        <v>12</v>
      </c>
      <c r="E8503" s="5" t="s">
        <v>3962</v>
      </c>
    </row>
    <row r="8504" spans="1:5" x14ac:dyDescent="0.25">
      <c r="A8504" s="5">
        <f>8496</f>
      </c>
      <c r="B8504" s="5" t="s">
        <v>7746</v>
      </c>
      <c r="C8504" s="5" t="s">
        <v>11</v>
      </c>
      <c r="D8504" s="5" t="s">
        <v>12</v>
      </c>
      <c r="E8504" s="5" t="s">
        <v>3962</v>
      </c>
    </row>
    <row r="8505" spans="1:5" x14ac:dyDescent="0.25">
      <c r="A8505" s="5">
        <f>8497</f>
      </c>
      <c r="B8505" s="5" t="s">
        <v>7747</v>
      </c>
      <c r="C8505" s="5" t="s">
        <v>11</v>
      </c>
      <c r="D8505" s="5" t="s">
        <v>12</v>
      </c>
      <c r="E8505" s="5" t="s">
        <v>3962</v>
      </c>
    </row>
    <row r="8506" spans="1:5" x14ac:dyDescent="0.25">
      <c r="A8506" s="5">
        <f>8498</f>
      </c>
      <c r="B8506" s="5" t="s">
        <v>7748</v>
      </c>
      <c r="C8506" s="5" t="s">
        <v>11</v>
      </c>
      <c r="D8506" s="5" t="s">
        <v>12</v>
      </c>
      <c r="E8506" s="5" t="s">
        <v>3962</v>
      </c>
    </row>
    <row r="8507" spans="1:5" x14ac:dyDescent="0.25">
      <c r="A8507" s="5">
        <f>8499</f>
      </c>
      <c r="B8507" s="5" t="s">
        <v>7749</v>
      </c>
      <c r="C8507" s="5" t="s">
        <v>11</v>
      </c>
      <c r="D8507" s="5" t="s">
        <v>12</v>
      </c>
      <c r="E8507" s="5" t="s">
        <v>3962</v>
      </c>
    </row>
    <row r="8508" spans="1:5" x14ac:dyDescent="0.25">
      <c r="A8508" s="5">
        <f>8500</f>
      </c>
      <c r="B8508" s="5" t="s">
        <v>7750</v>
      </c>
      <c r="C8508" s="5" t="s">
        <v>11</v>
      </c>
      <c r="D8508" s="5" t="s">
        <v>12</v>
      </c>
      <c r="E8508" s="5" t="s">
        <v>3962</v>
      </c>
    </row>
    <row r="8509" spans="1:5" x14ac:dyDescent="0.25">
      <c r="A8509" s="5">
        <f>8501</f>
      </c>
      <c r="B8509" s="5" t="s">
        <v>7751</v>
      </c>
      <c r="C8509" s="5" t="s">
        <v>11</v>
      </c>
      <c r="D8509" s="5" t="s">
        <v>12</v>
      </c>
      <c r="E8509" s="5" t="s">
        <v>3962</v>
      </c>
    </row>
    <row r="8510" spans="1:5" x14ac:dyDescent="0.25">
      <c r="A8510" s="5">
        <f>8502</f>
      </c>
      <c r="B8510" s="5" t="s">
        <v>7752</v>
      </c>
      <c r="C8510" s="5" t="s">
        <v>11</v>
      </c>
      <c r="D8510" s="5" t="s">
        <v>12</v>
      </c>
      <c r="E8510" s="5" t="s">
        <v>3962</v>
      </c>
    </row>
    <row r="8511" spans="1:5" x14ac:dyDescent="0.25">
      <c r="A8511" s="5">
        <f>8503</f>
      </c>
      <c r="B8511" s="5" t="s">
        <v>7753</v>
      </c>
      <c r="C8511" s="5" t="s">
        <v>11</v>
      </c>
      <c r="D8511" s="5" t="s">
        <v>12</v>
      </c>
      <c r="E8511" s="5" t="s">
        <v>3962</v>
      </c>
    </row>
    <row r="8512" spans="1:5" x14ac:dyDescent="0.25">
      <c r="A8512" s="5">
        <f>8504</f>
      </c>
      <c r="B8512" s="5" t="s">
        <v>7754</v>
      </c>
      <c r="C8512" s="5" t="s">
        <v>11</v>
      </c>
      <c r="D8512" s="5" t="s">
        <v>12</v>
      </c>
      <c r="E8512" s="5" t="s">
        <v>3962</v>
      </c>
    </row>
    <row r="8513" spans="1:5" x14ac:dyDescent="0.25">
      <c r="A8513" s="5">
        <f>8505</f>
      </c>
      <c r="B8513" s="5" t="s">
        <v>7755</v>
      </c>
      <c r="C8513" s="5" t="s">
        <v>11</v>
      </c>
      <c r="D8513" s="5" t="s">
        <v>12</v>
      </c>
      <c r="E8513" s="5" t="s">
        <v>3962</v>
      </c>
    </row>
    <row r="8514" spans="1:5" x14ac:dyDescent="0.25">
      <c r="A8514" s="5">
        <f>8506</f>
      </c>
      <c r="B8514" s="5" t="s">
        <v>7756</v>
      </c>
      <c r="C8514" s="5" t="s">
        <v>11</v>
      </c>
      <c r="D8514" s="5" t="s">
        <v>12</v>
      </c>
      <c r="E8514" s="5" t="s">
        <v>3962</v>
      </c>
    </row>
    <row r="8515" spans="1:5" x14ac:dyDescent="0.25">
      <c r="A8515" s="5">
        <f>8507</f>
      </c>
      <c r="B8515" s="5" t="s">
        <v>7757</v>
      </c>
      <c r="C8515" s="5" t="s">
        <v>11</v>
      </c>
      <c r="D8515" s="5" t="s">
        <v>12</v>
      </c>
      <c r="E8515" s="5" t="s">
        <v>3962</v>
      </c>
    </row>
    <row r="8516" spans="1:5" x14ac:dyDescent="0.25">
      <c r="A8516" s="5">
        <f>8508</f>
      </c>
      <c r="B8516" s="5" t="s">
        <v>7758</v>
      </c>
      <c r="C8516" s="5" t="s">
        <v>11</v>
      </c>
      <c r="D8516" s="5" t="s">
        <v>12</v>
      </c>
      <c r="E8516" s="5" t="s">
        <v>3962</v>
      </c>
    </row>
    <row r="8517" spans="1:5" x14ac:dyDescent="0.25">
      <c r="A8517" s="5">
        <f>8509</f>
      </c>
      <c r="B8517" s="5" t="s">
        <v>7759</v>
      </c>
      <c r="C8517" s="5" t="s">
        <v>11</v>
      </c>
      <c r="D8517" s="5" t="s">
        <v>12</v>
      </c>
      <c r="E8517" s="5" t="s">
        <v>3962</v>
      </c>
    </row>
    <row r="8518" spans="1:5" x14ac:dyDescent="0.25">
      <c r="A8518" s="5">
        <f>8510</f>
      </c>
      <c r="B8518" s="5" t="s">
        <v>7760</v>
      </c>
      <c r="C8518" s="5" t="s">
        <v>11</v>
      </c>
      <c r="D8518" s="5" t="s">
        <v>12</v>
      </c>
      <c r="E8518" s="5" t="s">
        <v>3962</v>
      </c>
    </row>
    <row r="8519" spans="1:5" x14ac:dyDescent="0.25">
      <c r="A8519" s="5">
        <f>8511</f>
      </c>
      <c r="B8519" s="5" t="s">
        <v>7761</v>
      </c>
      <c r="C8519" s="5" t="s">
        <v>11</v>
      </c>
      <c r="D8519" s="5" t="s">
        <v>12</v>
      </c>
      <c r="E8519" s="5" t="s">
        <v>3962</v>
      </c>
    </row>
    <row r="8520" spans="1:5" x14ac:dyDescent="0.25">
      <c r="A8520" s="5">
        <f>8512</f>
      </c>
      <c r="B8520" s="5" t="s">
        <v>7762</v>
      </c>
      <c r="C8520" s="5" t="s">
        <v>11</v>
      </c>
      <c r="D8520" s="5" t="s">
        <v>12</v>
      </c>
      <c r="E8520" s="5" t="s">
        <v>3962</v>
      </c>
    </row>
    <row r="8521" spans="1:5" x14ac:dyDescent="0.25">
      <c r="A8521" s="5">
        <f>8513</f>
      </c>
      <c r="B8521" s="5" t="s">
        <v>7763</v>
      </c>
      <c r="C8521" s="5" t="s">
        <v>11</v>
      </c>
      <c r="D8521" s="5" t="s">
        <v>12</v>
      </c>
      <c r="E8521" s="5" t="s">
        <v>3962</v>
      </c>
    </row>
    <row r="8522" spans="1:5" x14ac:dyDescent="0.25">
      <c r="A8522" s="5">
        <f>8514</f>
      </c>
      <c r="B8522" s="5" t="s">
        <v>7764</v>
      </c>
      <c r="C8522" s="5" t="s">
        <v>11</v>
      </c>
      <c r="D8522" s="5" t="s">
        <v>12</v>
      </c>
      <c r="E8522" s="5" t="s">
        <v>3962</v>
      </c>
    </row>
    <row r="8523" spans="1:5" x14ac:dyDescent="0.25">
      <c r="A8523" s="5">
        <f>8515</f>
      </c>
      <c r="B8523" s="5" t="s">
        <v>7765</v>
      </c>
      <c r="C8523" s="5" t="s">
        <v>11</v>
      </c>
      <c r="D8523" s="5" t="s">
        <v>12</v>
      </c>
      <c r="E8523" s="5" t="s">
        <v>3962</v>
      </c>
    </row>
    <row r="8524" spans="1:5" x14ac:dyDescent="0.25">
      <c r="A8524" s="5">
        <f>8516</f>
      </c>
      <c r="B8524" s="5" t="s">
        <v>7766</v>
      </c>
      <c r="C8524" s="5" t="s">
        <v>11</v>
      </c>
      <c r="D8524" s="5" t="s">
        <v>12</v>
      </c>
      <c r="E8524" s="5" t="s">
        <v>7767</v>
      </c>
    </row>
    <row r="8525" spans="1:5" x14ac:dyDescent="0.25">
      <c r="A8525" s="5">
        <f>8517</f>
      </c>
      <c r="B8525" s="5" t="s">
        <v>7768</v>
      </c>
      <c r="C8525" s="5" t="s">
        <v>11</v>
      </c>
      <c r="D8525" s="5" t="s">
        <v>12</v>
      </c>
      <c r="E8525" s="5" t="s">
        <v>2665</v>
      </c>
    </row>
    <row r="8526" spans="1:5" x14ac:dyDescent="0.25">
      <c r="A8526" s="5">
        <f>8518</f>
      </c>
      <c r="B8526" s="5" t="s">
        <v>7769</v>
      </c>
      <c r="C8526" s="5" t="s">
        <v>11</v>
      </c>
      <c r="D8526" s="5" t="s">
        <v>12</v>
      </c>
      <c r="E8526" s="5" t="s">
        <v>728</v>
      </c>
    </row>
    <row r="8527" spans="1:5" x14ac:dyDescent="0.25">
      <c r="A8527" s="5">
        <f>8519</f>
      </c>
      <c r="B8527" s="5" t="s">
        <v>7770</v>
      </c>
      <c r="C8527" s="5" t="s">
        <v>11</v>
      </c>
      <c r="D8527" s="5" t="s">
        <v>12</v>
      </c>
      <c r="E8527" s="5" t="s">
        <v>3516</v>
      </c>
    </row>
    <row r="8528" spans="1:5" x14ac:dyDescent="0.25">
      <c r="A8528" s="5">
        <f>8520</f>
      </c>
      <c r="B8528" s="5" t="s">
        <v>7771</v>
      </c>
      <c r="C8528" s="5" t="s">
        <v>11</v>
      </c>
      <c r="D8528" s="5" t="s">
        <v>12</v>
      </c>
      <c r="E8528" s="5" t="s">
        <v>778</v>
      </c>
    </row>
    <row r="8529" spans="1:5" x14ac:dyDescent="0.25">
      <c r="A8529" s="5">
        <f>8521</f>
      </c>
      <c r="B8529" s="5" t="s">
        <v>7772</v>
      </c>
      <c r="C8529" s="5" t="s">
        <v>11</v>
      </c>
      <c r="D8529" s="5" t="s">
        <v>12</v>
      </c>
      <c r="E8529" s="5" t="s">
        <v>3386</v>
      </c>
    </row>
    <row r="8530" spans="1:5" x14ac:dyDescent="0.25">
      <c r="A8530" s="5">
        <f>8522</f>
      </c>
      <c r="B8530" s="5" t="s">
        <v>7773</v>
      </c>
      <c r="C8530" s="5" t="s">
        <v>11</v>
      </c>
      <c r="D8530" s="5" t="s">
        <v>12</v>
      </c>
      <c r="E8530" s="5" t="s">
        <v>3927</v>
      </c>
    </row>
    <row r="8531" spans="1:5" x14ac:dyDescent="0.25">
      <c r="A8531" s="5">
        <f>8523</f>
      </c>
      <c r="B8531" s="5" t="s">
        <v>7774</v>
      </c>
      <c r="C8531" s="5" t="s">
        <v>11</v>
      </c>
      <c r="D8531" s="5" t="s">
        <v>12</v>
      </c>
      <c r="E8531" s="5" t="s">
        <v>4066</v>
      </c>
    </row>
    <row r="8532" spans="1:5" x14ac:dyDescent="0.25">
      <c r="A8532" s="5">
        <f>8524</f>
      </c>
      <c r="B8532" s="5" t="s">
        <v>7775</v>
      </c>
      <c r="C8532" s="5" t="s">
        <v>11</v>
      </c>
      <c r="D8532" s="5" t="s">
        <v>12</v>
      </c>
      <c r="E8532" s="5" t="s">
        <v>775</v>
      </c>
    </row>
    <row r="8533" spans="1:5" x14ac:dyDescent="0.25">
      <c r="A8533" s="5">
        <f>8525</f>
      </c>
      <c r="B8533" s="5" t="s">
        <v>7776</v>
      </c>
      <c r="C8533" s="5" t="s">
        <v>11</v>
      </c>
      <c r="D8533" s="5" t="s">
        <v>12</v>
      </c>
      <c r="E8533" s="5" t="s">
        <v>4103</v>
      </c>
    </row>
    <row r="8534" spans="1:5" x14ac:dyDescent="0.25">
      <c r="A8534" s="5">
        <f>8526</f>
      </c>
      <c r="B8534" s="5" t="s">
        <v>7777</v>
      </c>
      <c r="C8534" s="5" t="s">
        <v>11</v>
      </c>
      <c r="D8534" s="5" t="s">
        <v>12</v>
      </c>
      <c r="E8534" s="5" t="s">
        <v>969</v>
      </c>
    </row>
    <row r="8535" spans="1:5" x14ac:dyDescent="0.25">
      <c r="A8535" s="5">
        <f>8527</f>
      </c>
      <c r="B8535" s="5" t="s">
        <v>7778</v>
      </c>
      <c r="C8535" s="5" t="s">
        <v>11</v>
      </c>
      <c r="D8535" s="5" t="s">
        <v>12</v>
      </c>
      <c r="E8535" s="5" t="s">
        <v>3962</v>
      </c>
    </row>
    <row r="8536" spans="1:5" x14ac:dyDescent="0.25">
      <c r="A8536" s="5">
        <f>8528</f>
      </c>
      <c r="B8536" s="5" t="s">
        <v>7779</v>
      </c>
      <c r="C8536" s="5" t="s">
        <v>11</v>
      </c>
      <c r="D8536" s="5" t="s">
        <v>12</v>
      </c>
      <c r="E8536" s="5" t="s">
        <v>3962</v>
      </c>
    </row>
    <row r="8537" spans="1:5" x14ac:dyDescent="0.25">
      <c r="A8537" s="5">
        <f>8529</f>
      </c>
      <c r="B8537" s="5" t="s">
        <v>7780</v>
      </c>
      <c r="C8537" s="5" t="s">
        <v>11</v>
      </c>
      <c r="D8537" s="5" t="s">
        <v>12</v>
      </c>
      <c r="E8537" s="5" t="s">
        <v>3962</v>
      </c>
    </row>
    <row r="8538" spans="1:5" x14ac:dyDescent="0.25">
      <c r="A8538" s="5">
        <f>8530</f>
      </c>
      <c r="B8538" s="5" t="s">
        <v>7781</v>
      </c>
      <c r="C8538" s="5" t="s">
        <v>11</v>
      </c>
      <c r="D8538" s="5" t="s">
        <v>12</v>
      </c>
      <c r="E8538" s="5" t="s">
        <v>3962</v>
      </c>
    </row>
    <row r="8539" spans="1:5" x14ac:dyDescent="0.25">
      <c r="A8539" s="5">
        <f>8531</f>
      </c>
      <c r="B8539" s="5" t="s">
        <v>7782</v>
      </c>
      <c r="C8539" s="5" t="s">
        <v>11</v>
      </c>
      <c r="D8539" s="5" t="s">
        <v>12</v>
      </c>
      <c r="E8539" s="5" t="s">
        <v>3962</v>
      </c>
    </row>
    <row r="8540" spans="1:5" x14ac:dyDescent="0.25">
      <c r="A8540" s="5">
        <f>8532</f>
      </c>
      <c r="B8540" s="5" t="s">
        <v>7783</v>
      </c>
      <c r="C8540" s="5" t="s">
        <v>11</v>
      </c>
      <c r="D8540" s="5" t="s">
        <v>12</v>
      </c>
      <c r="E8540" s="5" t="s">
        <v>3962</v>
      </c>
    </row>
    <row r="8541" spans="1:5" x14ac:dyDescent="0.25">
      <c r="A8541" s="5">
        <f>8533</f>
      </c>
      <c r="B8541" s="5" t="s">
        <v>7784</v>
      </c>
      <c r="C8541" s="5" t="s">
        <v>11</v>
      </c>
      <c r="D8541" s="5" t="s">
        <v>12</v>
      </c>
      <c r="E8541" s="5" t="s">
        <v>3962</v>
      </c>
    </row>
    <row r="8542" spans="1:5" x14ac:dyDescent="0.25">
      <c r="A8542" s="5">
        <f>8534</f>
      </c>
      <c r="B8542" s="5" t="s">
        <v>7785</v>
      </c>
      <c r="C8542" s="5" t="s">
        <v>11</v>
      </c>
      <c r="D8542" s="5" t="s">
        <v>12</v>
      </c>
      <c r="E8542" s="5" t="s">
        <v>3962</v>
      </c>
    </row>
    <row r="8543" spans="1:5" x14ac:dyDescent="0.25">
      <c r="A8543" s="5">
        <f>8535</f>
      </c>
      <c r="B8543" s="5" t="s">
        <v>7786</v>
      </c>
      <c r="C8543" s="5" t="s">
        <v>11</v>
      </c>
      <c r="D8543" s="5" t="s">
        <v>12</v>
      </c>
      <c r="E8543" s="5" t="s">
        <v>3962</v>
      </c>
    </row>
    <row r="8544" spans="1:5" x14ac:dyDescent="0.25">
      <c r="A8544" s="5">
        <f>8536</f>
      </c>
      <c r="B8544" s="5" t="s">
        <v>7787</v>
      </c>
      <c r="C8544" s="5" t="s">
        <v>11</v>
      </c>
      <c r="D8544" s="5" t="s">
        <v>12</v>
      </c>
      <c r="E8544" s="5" t="s">
        <v>3962</v>
      </c>
    </row>
    <row r="8545" spans="1:5" x14ac:dyDescent="0.25">
      <c r="A8545" s="5">
        <f>8537</f>
      </c>
      <c r="B8545" s="5" t="s">
        <v>7788</v>
      </c>
      <c r="C8545" s="5" t="s">
        <v>11</v>
      </c>
      <c r="D8545" s="5" t="s">
        <v>12</v>
      </c>
      <c r="E8545" s="5" t="s">
        <v>3962</v>
      </c>
    </row>
    <row r="8546" spans="1:5" x14ac:dyDescent="0.25">
      <c r="A8546" s="5">
        <f>8538</f>
      </c>
      <c r="B8546" s="5" t="s">
        <v>7789</v>
      </c>
      <c r="C8546" s="5" t="s">
        <v>11</v>
      </c>
      <c r="D8546" s="5" t="s">
        <v>12</v>
      </c>
      <c r="E8546" s="5" t="s">
        <v>3962</v>
      </c>
    </row>
    <row r="8547" spans="1:5" x14ac:dyDescent="0.25">
      <c r="A8547" s="5">
        <f>8539</f>
      </c>
      <c r="B8547" s="5" t="s">
        <v>7790</v>
      </c>
      <c r="C8547" s="5" t="s">
        <v>11</v>
      </c>
      <c r="D8547" s="5" t="s">
        <v>12</v>
      </c>
      <c r="E8547" s="5" t="s">
        <v>3962</v>
      </c>
    </row>
    <row r="8548" spans="1:5" x14ac:dyDescent="0.25">
      <c r="A8548" s="5">
        <f>8540</f>
      </c>
      <c r="B8548" s="5" t="s">
        <v>7791</v>
      </c>
      <c r="C8548" s="5" t="s">
        <v>11</v>
      </c>
      <c r="D8548" s="5" t="s">
        <v>12</v>
      </c>
      <c r="E8548" s="5" t="s">
        <v>3962</v>
      </c>
    </row>
    <row r="8549" spans="1:5" x14ac:dyDescent="0.25">
      <c r="A8549" s="5">
        <f>8541</f>
      </c>
      <c r="B8549" s="5" t="s">
        <v>7792</v>
      </c>
      <c r="C8549" s="5" t="s">
        <v>11</v>
      </c>
      <c r="D8549" s="5" t="s">
        <v>12</v>
      </c>
      <c r="E8549" s="5" t="s">
        <v>3962</v>
      </c>
    </row>
    <row r="8550" spans="1:5" x14ac:dyDescent="0.25">
      <c r="A8550" s="5">
        <f>8542</f>
      </c>
      <c r="B8550" s="5" t="s">
        <v>7793</v>
      </c>
      <c r="C8550" s="5" t="s">
        <v>11</v>
      </c>
      <c r="D8550" s="5" t="s">
        <v>12</v>
      </c>
      <c r="E8550" s="5" t="s">
        <v>3962</v>
      </c>
    </row>
    <row r="8551" spans="1:5" x14ac:dyDescent="0.25">
      <c r="A8551" s="5">
        <f>8543</f>
      </c>
      <c r="B8551" s="5" t="s">
        <v>7794</v>
      </c>
      <c r="C8551" s="5" t="s">
        <v>11</v>
      </c>
      <c r="D8551" s="5" t="s">
        <v>12</v>
      </c>
      <c r="E8551" s="5" t="s">
        <v>3962</v>
      </c>
    </row>
    <row r="8552" spans="1:5" x14ac:dyDescent="0.25">
      <c r="A8552" s="5">
        <f>8544</f>
      </c>
      <c r="B8552" s="5" t="s">
        <v>7795</v>
      </c>
      <c r="C8552" s="5" t="s">
        <v>11</v>
      </c>
      <c r="D8552" s="5" t="s">
        <v>12</v>
      </c>
      <c r="E8552" s="5" t="s">
        <v>3962</v>
      </c>
    </row>
    <row r="8553" spans="1:5" x14ac:dyDescent="0.25">
      <c r="A8553" s="5">
        <f>8545</f>
      </c>
      <c r="B8553" s="5" t="s">
        <v>7796</v>
      </c>
      <c r="C8553" s="5" t="s">
        <v>11</v>
      </c>
      <c r="D8553" s="5" t="s">
        <v>12</v>
      </c>
      <c r="E8553" s="5" t="s">
        <v>3962</v>
      </c>
    </row>
    <row r="8554" spans="1:5" x14ac:dyDescent="0.25">
      <c r="A8554" s="5">
        <f>8546</f>
      </c>
      <c r="B8554" s="5" t="s">
        <v>7797</v>
      </c>
      <c r="C8554" s="5" t="s">
        <v>11</v>
      </c>
      <c r="D8554" s="5" t="s">
        <v>12</v>
      </c>
      <c r="E8554" s="5" t="s">
        <v>3962</v>
      </c>
    </row>
    <row r="8555" spans="1:5" x14ac:dyDescent="0.25">
      <c r="A8555" s="5">
        <f>8547</f>
      </c>
      <c r="B8555" s="5" t="s">
        <v>7798</v>
      </c>
      <c r="C8555" s="5" t="s">
        <v>11</v>
      </c>
      <c r="D8555" s="5" t="s">
        <v>12</v>
      </c>
      <c r="E8555" s="5" t="s">
        <v>3962</v>
      </c>
    </row>
    <row r="8556" spans="1:5" x14ac:dyDescent="0.25">
      <c r="A8556" s="5">
        <f>8548</f>
      </c>
      <c r="B8556" s="5" t="s">
        <v>7799</v>
      </c>
      <c r="C8556" s="5" t="s">
        <v>11</v>
      </c>
      <c r="D8556" s="5" t="s">
        <v>12</v>
      </c>
      <c r="E8556" s="5" t="s">
        <v>3962</v>
      </c>
    </row>
    <row r="8557" spans="1:5" x14ac:dyDescent="0.25">
      <c r="A8557" s="5">
        <f>8549</f>
      </c>
      <c r="B8557" s="5" t="s">
        <v>7800</v>
      </c>
      <c r="C8557" s="5" t="s">
        <v>11</v>
      </c>
      <c r="D8557" s="5" t="s">
        <v>12</v>
      </c>
      <c r="E8557" s="5" t="s">
        <v>3962</v>
      </c>
    </row>
    <row r="8558" spans="1:5" x14ac:dyDescent="0.25">
      <c r="A8558" s="5">
        <f>8550</f>
      </c>
      <c r="B8558" s="5" t="s">
        <v>7801</v>
      </c>
      <c r="C8558" s="5" t="s">
        <v>11</v>
      </c>
      <c r="D8558" s="5" t="s">
        <v>12</v>
      </c>
      <c r="E8558" s="5" t="s">
        <v>3962</v>
      </c>
    </row>
    <row r="8559" spans="1:5" x14ac:dyDescent="0.25">
      <c r="A8559" s="5">
        <f>8551</f>
      </c>
      <c r="B8559" s="5" t="s">
        <v>7802</v>
      </c>
      <c r="C8559" s="5" t="s">
        <v>11</v>
      </c>
      <c r="D8559" s="5" t="s">
        <v>12</v>
      </c>
      <c r="E8559" s="5" t="s">
        <v>3962</v>
      </c>
    </row>
    <row r="8560" spans="1:5" x14ac:dyDescent="0.25">
      <c r="A8560" s="5">
        <f>8552</f>
      </c>
      <c r="B8560" s="5" t="s">
        <v>7803</v>
      </c>
      <c r="C8560" s="5" t="s">
        <v>11</v>
      </c>
      <c r="D8560" s="5" t="s">
        <v>12</v>
      </c>
      <c r="E8560" s="5" t="s">
        <v>3962</v>
      </c>
    </row>
    <row r="8561" spans="1:5" x14ac:dyDescent="0.25">
      <c r="A8561" s="5">
        <f>8553</f>
      </c>
      <c r="B8561" s="5" t="s">
        <v>7804</v>
      </c>
      <c r="C8561" s="5" t="s">
        <v>11</v>
      </c>
      <c r="D8561" s="5" t="s">
        <v>12</v>
      </c>
      <c r="E8561" s="5" t="s">
        <v>3962</v>
      </c>
    </row>
    <row r="8562" spans="1:5" x14ac:dyDescent="0.25">
      <c r="A8562" s="5">
        <f>8554</f>
      </c>
      <c r="B8562" s="5" t="s">
        <v>7805</v>
      </c>
      <c r="C8562" s="5" t="s">
        <v>11</v>
      </c>
      <c r="D8562" s="5" t="s">
        <v>12</v>
      </c>
      <c r="E8562" s="5" t="s">
        <v>3962</v>
      </c>
    </row>
    <row r="8563" spans="1:5" x14ac:dyDescent="0.25">
      <c r="A8563" s="5">
        <f>8555</f>
      </c>
      <c r="B8563" s="5" t="s">
        <v>7806</v>
      </c>
      <c r="C8563" s="5" t="s">
        <v>11</v>
      </c>
      <c r="D8563" s="5" t="s">
        <v>12</v>
      </c>
      <c r="E8563" s="5" t="s">
        <v>3962</v>
      </c>
    </row>
    <row r="8564" spans="1:5" x14ac:dyDescent="0.25">
      <c r="A8564" s="5">
        <f>8556</f>
      </c>
      <c r="B8564" s="5" t="s">
        <v>7807</v>
      </c>
      <c r="C8564" s="5" t="s">
        <v>11</v>
      </c>
      <c r="D8564" s="5" t="s">
        <v>12</v>
      </c>
      <c r="E8564" s="5" t="s">
        <v>3962</v>
      </c>
    </row>
    <row r="8565" spans="1:5" x14ac:dyDescent="0.25">
      <c r="A8565" s="5">
        <f>8557</f>
      </c>
      <c r="B8565" s="5" t="s">
        <v>7808</v>
      </c>
      <c r="C8565" s="5" t="s">
        <v>11</v>
      </c>
      <c r="D8565" s="5" t="s">
        <v>12</v>
      </c>
      <c r="E8565" s="5" t="s">
        <v>3962</v>
      </c>
    </row>
    <row r="8566" spans="1:5" x14ac:dyDescent="0.25">
      <c r="A8566" s="5">
        <f>8558</f>
      </c>
      <c r="B8566" s="5" t="s">
        <v>7809</v>
      </c>
      <c r="C8566" s="5" t="s">
        <v>11</v>
      </c>
      <c r="D8566" s="5" t="s">
        <v>12</v>
      </c>
      <c r="E8566" s="5" t="s">
        <v>3962</v>
      </c>
    </row>
    <row r="8567" spans="1:5" x14ac:dyDescent="0.25">
      <c r="A8567" s="5">
        <f>8559</f>
      </c>
      <c r="B8567" s="5" t="s">
        <v>7810</v>
      </c>
      <c r="C8567" s="5" t="s">
        <v>11</v>
      </c>
      <c r="D8567" s="5" t="s">
        <v>12</v>
      </c>
      <c r="E8567" s="5" t="s">
        <v>3962</v>
      </c>
    </row>
    <row r="8568" spans="1:5" x14ac:dyDescent="0.25">
      <c r="A8568" s="5">
        <f>8560</f>
      </c>
      <c r="B8568" s="5" t="s">
        <v>7811</v>
      </c>
      <c r="C8568" s="5" t="s">
        <v>11</v>
      </c>
      <c r="D8568" s="5" t="s">
        <v>12</v>
      </c>
      <c r="E8568" s="5" t="s">
        <v>3962</v>
      </c>
    </row>
    <row r="8569" spans="1:5" x14ac:dyDescent="0.25">
      <c r="A8569" s="5">
        <f>8561</f>
      </c>
      <c r="B8569" s="5" t="s">
        <v>7812</v>
      </c>
      <c r="C8569" s="5" t="s">
        <v>11</v>
      </c>
      <c r="D8569" s="5" t="s">
        <v>12</v>
      </c>
      <c r="E8569" s="5" t="s">
        <v>3962</v>
      </c>
    </row>
    <row r="8570" spans="1:5" x14ac:dyDescent="0.25">
      <c r="A8570" s="5">
        <f>8562</f>
      </c>
      <c r="B8570" s="5" t="s">
        <v>7813</v>
      </c>
      <c r="C8570" s="5" t="s">
        <v>11</v>
      </c>
      <c r="D8570" s="5" t="s">
        <v>12</v>
      </c>
      <c r="E8570" s="5" t="s">
        <v>3962</v>
      </c>
    </row>
    <row r="8571" spans="1:5" x14ac:dyDescent="0.25">
      <c r="A8571" s="5">
        <f>8563</f>
      </c>
      <c r="B8571" s="5" t="s">
        <v>7814</v>
      </c>
      <c r="C8571" s="5" t="s">
        <v>11</v>
      </c>
      <c r="D8571" s="5" t="s">
        <v>12</v>
      </c>
      <c r="E8571" s="5" t="s">
        <v>3962</v>
      </c>
    </row>
    <row r="8572" spans="1:5" x14ac:dyDescent="0.25">
      <c r="A8572" s="5">
        <f>8564</f>
      </c>
      <c r="B8572" s="5" t="s">
        <v>7815</v>
      </c>
      <c r="C8572" s="5" t="s">
        <v>11</v>
      </c>
      <c r="D8572" s="5" t="s">
        <v>12</v>
      </c>
      <c r="E8572" s="5" t="s">
        <v>3962</v>
      </c>
    </row>
    <row r="8573" spans="1:5" x14ac:dyDescent="0.25">
      <c r="A8573" s="5">
        <f>8565</f>
      </c>
      <c r="B8573" s="5" t="s">
        <v>7816</v>
      </c>
      <c r="C8573" s="5" t="s">
        <v>11</v>
      </c>
      <c r="D8573" s="5" t="s">
        <v>12</v>
      </c>
      <c r="E8573" s="5" t="s">
        <v>3962</v>
      </c>
    </row>
    <row r="8574" spans="1:5" x14ac:dyDescent="0.25">
      <c r="A8574" s="5">
        <f>8566</f>
      </c>
      <c r="B8574" s="5" t="s">
        <v>7817</v>
      </c>
      <c r="C8574" s="5" t="s">
        <v>11</v>
      </c>
      <c r="D8574" s="5" t="s">
        <v>12</v>
      </c>
      <c r="E8574" s="5" t="s">
        <v>3962</v>
      </c>
    </row>
    <row r="8575" spans="1:5" x14ac:dyDescent="0.25">
      <c r="A8575" s="5">
        <f>8567</f>
      </c>
      <c r="B8575" s="5" t="s">
        <v>7818</v>
      </c>
      <c r="C8575" s="5" t="s">
        <v>11</v>
      </c>
      <c r="D8575" s="5" t="s">
        <v>12</v>
      </c>
      <c r="E8575" s="5" t="s">
        <v>3962</v>
      </c>
    </row>
    <row r="8576" spans="1:5" x14ac:dyDescent="0.25">
      <c r="A8576" s="5">
        <f>8568</f>
      </c>
      <c r="B8576" s="5" t="s">
        <v>7819</v>
      </c>
      <c r="C8576" s="5" t="s">
        <v>11</v>
      </c>
      <c r="D8576" s="5" t="s">
        <v>12</v>
      </c>
      <c r="E8576" s="5" t="s">
        <v>3962</v>
      </c>
    </row>
    <row r="8577" spans="1:5" x14ac:dyDescent="0.25">
      <c r="A8577" s="5">
        <f>8569</f>
      </c>
      <c r="B8577" s="5" t="s">
        <v>7820</v>
      </c>
      <c r="C8577" s="5" t="s">
        <v>11</v>
      </c>
      <c r="D8577" s="5" t="s">
        <v>12</v>
      </c>
      <c r="E8577" s="5" t="s">
        <v>3962</v>
      </c>
    </row>
    <row r="8578" spans="1:5" x14ac:dyDescent="0.25">
      <c r="A8578" s="5">
        <f>8570</f>
      </c>
      <c r="B8578" s="5" t="s">
        <v>7821</v>
      </c>
      <c r="C8578" s="5" t="s">
        <v>11</v>
      </c>
      <c r="D8578" s="5" t="s">
        <v>12</v>
      </c>
      <c r="E8578" s="5" t="s">
        <v>3962</v>
      </c>
    </row>
    <row r="8579" spans="1:5" x14ac:dyDescent="0.25">
      <c r="A8579" s="5">
        <f>8571</f>
      </c>
      <c r="B8579" s="5" t="s">
        <v>7822</v>
      </c>
      <c r="C8579" s="5" t="s">
        <v>11</v>
      </c>
      <c r="D8579" s="5" t="s">
        <v>12</v>
      </c>
      <c r="E8579" s="5" t="s">
        <v>3962</v>
      </c>
    </row>
    <row r="8580" spans="1:5" x14ac:dyDescent="0.25">
      <c r="A8580" s="5">
        <f>8572</f>
      </c>
      <c r="B8580" s="5" t="s">
        <v>7823</v>
      </c>
      <c r="C8580" s="5" t="s">
        <v>11</v>
      </c>
      <c r="D8580" s="5" t="s">
        <v>12</v>
      </c>
      <c r="E8580" s="5" t="s">
        <v>3962</v>
      </c>
    </row>
    <row r="8581" spans="1:5" x14ac:dyDescent="0.25">
      <c r="A8581" s="5">
        <f>8573</f>
      </c>
      <c r="B8581" s="5" t="s">
        <v>7824</v>
      </c>
      <c r="C8581" s="5" t="s">
        <v>11</v>
      </c>
      <c r="D8581" s="5" t="s">
        <v>12</v>
      </c>
      <c r="E8581" s="5" t="s">
        <v>3962</v>
      </c>
    </row>
    <row r="8582" spans="1:5" x14ac:dyDescent="0.25">
      <c r="A8582" s="5">
        <f>8574</f>
      </c>
      <c r="B8582" s="5" t="s">
        <v>7825</v>
      </c>
      <c r="C8582" s="5" t="s">
        <v>11</v>
      </c>
      <c r="D8582" s="5" t="s">
        <v>12</v>
      </c>
      <c r="E8582" s="5" t="s">
        <v>3962</v>
      </c>
    </row>
    <row r="8583" spans="1:5" x14ac:dyDescent="0.25">
      <c r="A8583" s="5">
        <f>8575</f>
      </c>
      <c r="B8583" s="5" t="s">
        <v>7826</v>
      </c>
      <c r="C8583" s="5" t="s">
        <v>11</v>
      </c>
      <c r="D8583" s="5" t="s">
        <v>12</v>
      </c>
      <c r="E8583" s="5" t="s">
        <v>3962</v>
      </c>
    </row>
    <row r="8584" spans="1:5" x14ac:dyDescent="0.25">
      <c r="A8584" s="5">
        <f>8576</f>
      </c>
      <c r="B8584" s="5" t="s">
        <v>7827</v>
      </c>
      <c r="C8584" s="5" t="s">
        <v>11</v>
      </c>
      <c r="D8584" s="5" t="s">
        <v>12</v>
      </c>
      <c r="E8584" s="5" t="s">
        <v>3962</v>
      </c>
    </row>
    <row r="8585" spans="1:5" x14ac:dyDescent="0.25">
      <c r="A8585" s="5">
        <f>8577</f>
      </c>
      <c r="B8585" s="5" t="s">
        <v>7828</v>
      </c>
      <c r="C8585" s="5" t="s">
        <v>11</v>
      </c>
      <c r="D8585" s="5" t="s">
        <v>12</v>
      </c>
      <c r="E8585" s="5" t="s">
        <v>3962</v>
      </c>
    </row>
    <row r="8586" spans="1:5" x14ac:dyDescent="0.25">
      <c r="A8586" s="5">
        <f>8578</f>
      </c>
      <c r="B8586" s="5" t="s">
        <v>7829</v>
      </c>
      <c r="C8586" s="5" t="s">
        <v>11</v>
      </c>
      <c r="D8586" s="5" t="s">
        <v>12</v>
      </c>
      <c r="E8586" s="5" t="s">
        <v>3962</v>
      </c>
    </row>
    <row r="8587" spans="1:5" x14ac:dyDescent="0.25">
      <c r="A8587" s="5">
        <f>8579</f>
      </c>
      <c r="B8587" s="5" t="s">
        <v>7830</v>
      </c>
      <c r="C8587" s="5" t="s">
        <v>11</v>
      </c>
      <c r="D8587" s="5" t="s">
        <v>12</v>
      </c>
      <c r="E8587" s="5" t="s">
        <v>3962</v>
      </c>
    </row>
    <row r="8588" spans="1:5" x14ac:dyDescent="0.25">
      <c r="A8588" s="5">
        <f>8580</f>
      </c>
      <c r="B8588" s="5" t="s">
        <v>7831</v>
      </c>
      <c r="C8588" s="5" t="s">
        <v>11</v>
      </c>
      <c r="D8588" s="5" t="s">
        <v>12</v>
      </c>
      <c r="E8588" s="5" t="s">
        <v>3962</v>
      </c>
    </row>
    <row r="8589" spans="1:5" x14ac:dyDescent="0.25">
      <c r="A8589" s="5">
        <f>8581</f>
      </c>
      <c r="B8589" s="5" t="s">
        <v>7832</v>
      </c>
      <c r="C8589" s="5" t="s">
        <v>11</v>
      </c>
      <c r="D8589" s="5" t="s">
        <v>12</v>
      </c>
      <c r="E8589" s="5" t="s">
        <v>3962</v>
      </c>
    </row>
    <row r="8590" spans="1:5" x14ac:dyDescent="0.25">
      <c r="A8590" s="5">
        <f>8582</f>
      </c>
      <c r="B8590" s="5" t="s">
        <v>7833</v>
      </c>
      <c r="C8590" s="5" t="s">
        <v>11</v>
      </c>
      <c r="D8590" s="5" t="s">
        <v>12</v>
      </c>
      <c r="E8590" s="5" t="s">
        <v>3962</v>
      </c>
    </row>
    <row r="8591" spans="1:5" x14ac:dyDescent="0.25">
      <c r="A8591" s="5">
        <f>8583</f>
      </c>
      <c r="B8591" s="5" t="s">
        <v>7834</v>
      </c>
      <c r="C8591" s="5" t="s">
        <v>11</v>
      </c>
      <c r="D8591" s="5" t="s">
        <v>12</v>
      </c>
      <c r="E8591" s="5" t="s">
        <v>3962</v>
      </c>
    </row>
    <row r="8592" spans="1:5" x14ac:dyDescent="0.25">
      <c r="A8592" s="5">
        <f>8584</f>
      </c>
      <c r="B8592" s="5" t="s">
        <v>7835</v>
      </c>
      <c r="C8592" s="5" t="s">
        <v>11</v>
      </c>
      <c r="D8592" s="5" t="s">
        <v>12</v>
      </c>
      <c r="E8592" s="5" t="s">
        <v>3962</v>
      </c>
    </row>
    <row r="8593" spans="1:5" x14ac:dyDescent="0.25">
      <c r="A8593" s="5">
        <f>8585</f>
      </c>
      <c r="B8593" s="5" t="s">
        <v>7836</v>
      </c>
      <c r="C8593" s="5" t="s">
        <v>11</v>
      </c>
      <c r="D8593" s="5" t="s">
        <v>12</v>
      </c>
      <c r="E8593" s="5" t="s">
        <v>3962</v>
      </c>
    </row>
    <row r="8594" spans="1:5" x14ac:dyDescent="0.25">
      <c r="A8594" s="5">
        <f>8586</f>
      </c>
      <c r="B8594" s="5" t="s">
        <v>7837</v>
      </c>
      <c r="C8594" s="5" t="s">
        <v>11</v>
      </c>
      <c r="D8594" s="5" t="s">
        <v>12</v>
      </c>
      <c r="E8594" s="5" t="s">
        <v>3962</v>
      </c>
    </row>
    <row r="8595" spans="1:5" x14ac:dyDescent="0.25">
      <c r="A8595" s="5">
        <f>8587</f>
      </c>
      <c r="B8595" s="5" t="s">
        <v>7838</v>
      </c>
      <c r="C8595" s="5" t="s">
        <v>11</v>
      </c>
      <c r="D8595" s="5" t="s">
        <v>12</v>
      </c>
      <c r="E8595" s="5" t="s">
        <v>3962</v>
      </c>
    </row>
    <row r="8596" spans="1:5" x14ac:dyDescent="0.25">
      <c r="A8596" s="5">
        <f>8588</f>
      </c>
      <c r="B8596" s="5" t="s">
        <v>7839</v>
      </c>
      <c r="C8596" s="5" t="s">
        <v>11</v>
      </c>
      <c r="D8596" s="5" t="s">
        <v>12</v>
      </c>
      <c r="E8596" s="5" t="s">
        <v>3962</v>
      </c>
    </row>
    <row r="8597" spans="1:5" x14ac:dyDescent="0.25">
      <c r="A8597" s="5">
        <f>8589</f>
      </c>
      <c r="B8597" s="5" t="s">
        <v>7840</v>
      </c>
      <c r="C8597" s="5" t="s">
        <v>11</v>
      </c>
      <c r="D8597" s="5" t="s">
        <v>12</v>
      </c>
      <c r="E8597" s="5" t="s">
        <v>3962</v>
      </c>
    </row>
    <row r="8598" spans="1:5" x14ac:dyDescent="0.25">
      <c r="A8598" s="5">
        <f>8590</f>
      </c>
      <c r="B8598" s="5" t="s">
        <v>7841</v>
      </c>
      <c r="C8598" s="5" t="s">
        <v>11</v>
      </c>
      <c r="D8598" s="5" t="s">
        <v>12</v>
      </c>
      <c r="E8598" s="5" t="s">
        <v>3962</v>
      </c>
    </row>
    <row r="8599" spans="1:5" x14ac:dyDescent="0.25">
      <c r="A8599" s="5">
        <f>8591</f>
      </c>
      <c r="B8599" s="5" t="s">
        <v>7842</v>
      </c>
      <c r="C8599" s="5" t="s">
        <v>11</v>
      </c>
      <c r="D8599" s="5" t="s">
        <v>12</v>
      </c>
      <c r="E8599" s="5" t="s">
        <v>3962</v>
      </c>
    </row>
    <row r="8600" spans="1:5" x14ac:dyDescent="0.25">
      <c r="A8600" s="5">
        <f>8592</f>
      </c>
      <c r="B8600" s="5" t="s">
        <v>7843</v>
      </c>
      <c r="C8600" s="5" t="s">
        <v>11</v>
      </c>
      <c r="D8600" s="5" t="s">
        <v>12</v>
      </c>
      <c r="E8600" s="5" t="s">
        <v>3962</v>
      </c>
    </row>
    <row r="8601" spans="1:5" x14ac:dyDescent="0.25">
      <c r="A8601" s="5">
        <f>8593</f>
      </c>
      <c r="B8601" s="5" t="s">
        <v>7844</v>
      </c>
      <c r="C8601" s="5" t="s">
        <v>11</v>
      </c>
      <c r="D8601" s="5" t="s">
        <v>12</v>
      </c>
      <c r="E8601" s="5" t="s">
        <v>3962</v>
      </c>
    </row>
    <row r="8602" spans="1:5" x14ac:dyDescent="0.25">
      <c r="A8602" s="5">
        <f>8594</f>
      </c>
      <c r="B8602" s="5" t="s">
        <v>7845</v>
      </c>
      <c r="C8602" s="5" t="s">
        <v>11</v>
      </c>
      <c r="D8602" s="5" t="s">
        <v>12</v>
      </c>
      <c r="E8602" s="5" t="s">
        <v>3962</v>
      </c>
    </row>
    <row r="8603" spans="1:5" x14ac:dyDescent="0.25">
      <c r="A8603" s="5">
        <f>8595</f>
      </c>
      <c r="B8603" s="5" t="s">
        <v>7846</v>
      </c>
      <c r="C8603" s="5" t="s">
        <v>11</v>
      </c>
      <c r="D8603" s="5" t="s">
        <v>12</v>
      </c>
      <c r="E8603" s="5" t="s">
        <v>3962</v>
      </c>
    </row>
    <row r="8604" spans="1:5" x14ac:dyDescent="0.25">
      <c r="A8604" s="5">
        <f>8596</f>
      </c>
      <c r="B8604" s="5" t="s">
        <v>7847</v>
      </c>
      <c r="C8604" s="5" t="s">
        <v>11</v>
      </c>
      <c r="D8604" s="5" t="s">
        <v>12</v>
      </c>
      <c r="E8604" s="5" t="s">
        <v>3962</v>
      </c>
    </row>
    <row r="8605" spans="1:5" x14ac:dyDescent="0.25">
      <c r="A8605" s="5">
        <f>8597</f>
      </c>
      <c r="B8605" s="5" t="s">
        <v>7848</v>
      </c>
      <c r="C8605" s="5" t="s">
        <v>11</v>
      </c>
      <c r="D8605" s="5" t="s">
        <v>12</v>
      </c>
      <c r="E8605" s="5" t="s">
        <v>3962</v>
      </c>
    </row>
    <row r="8606" spans="1:5" x14ac:dyDescent="0.25">
      <c r="A8606" s="5">
        <f>8598</f>
      </c>
      <c r="B8606" s="5" t="s">
        <v>7849</v>
      </c>
      <c r="C8606" s="5" t="s">
        <v>11</v>
      </c>
      <c r="D8606" s="5" t="s">
        <v>12</v>
      </c>
      <c r="E8606" s="5" t="s">
        <v>3962</v>
      </c>
    </row>
    <row r="8607" spans="1:5" x14ac:dyDescent="0.25">
      <c r="A8607" s="5">
        <f>8599</f>
      </c>
      <c r="B8607" s="5" t="s">
        <v>7850</v>
      </c>
      <c r="C8607" s="5" t="s">
        <v>11</v>
      </c>
      <c r="D8607" s="5" t="s">
        <v>12</v>
      </c>
      <c r="E8607" s="5" t="s">
        <v>3962</v>
      </c>
    </row>
    <row r="8608" spans="1:5" x14ac:dyDescent="0.25">
      <c r="A8608" s="5">
        <f>8600</f>
      </c>
      <c r="B8608" s="5" t="s">
        <v>7851</v>
      </c>
      <c r="C8608" s="5" t="s">
        <v>11</v>
      </c>
      <c r="D8608" s="5" t="s">
        <v>12</v>
      </c>
      <c r="E8608" s="5" t="s">
        <v>3962</v>
      </c>
    </row>
    <row r="8609" spans="1:5" x14ac:dyDescent="0.25">
      <c r="A8609" s="5">
        <f>8601</f>
      </c>
      <c r="B8609" s="5" t="s">
        <v>7852</v>
      </c>
      <c r="C8609" s="5" t="s">
        <v>11</v>
      </c>
      <c r="D8609" s="5" t="s">
        <v>12</v>
      </c>
      <c r="E8609" s="5" t="s">
        <v>3962</v>
      </c>
    </row>
    <row r="8610" spans="1:5" x14ac:dyDescent="0.25">
      <c r="A8610" s="5">
        <f>8602</f>
      </c>
      <c r="B8610" s="5" t="s">
        <v>7853</v>
      </c>
      <c r="C8610" s="5" t="s">
        <v>11</v>
      </c>
      <c r="D8610" s="5" t="s">
        <v>12</v>
      </c>
      <c r="E8610" s="5" t="s">
        <v>3962</v>
      </c>
    </row>
    <row r="8611" spans="1:5" x14ac:dyDescent="0.25">
      <c r="A8611" s="5">
        <f>8603</f>
      </c>
      <c r="B8611" s="5" t="s">
        <v>7854</v>
      </c>
      <c r="C8611" s="5" t="s">
        <v>11</v>
      </c>
      <c r="D8611" s="5" t="s">
        <v>12</v>
      </c>
      <c r="E8611" s="5" t="s">
        <v>3962</v>
      </c>
    </row>
    <row r="8612" spans="1:5" x14ac:dyDescent="0.25">
      <c r="A8612" s="5">
        <f>8604</f>
      </c>
      <c r="B8612" s="5" t="s">
        <v>7855</v>
      </c>
      <c r="C8612" s="5" t="s">
        <v>11</v>
      </c>
      <c r="D8612" s="5" t="s">
        <v>12</v>
      </c>
      <c r="E8612" s="5" t="s">
        <v>3962</v>
      </c>
    </row>
    <row r="8613" spans="1:5" x14ac:dyDescent="0.25">
      <c r="A8613" s="5">
        <f>8605</f>
      </c>
      <c r="B8613" s="5" t="s">
        <v>7856</v>
      </c>
      <c r="C8613" s="5" t="s">
        <v>11</v>
      </c>
      <c r="D8613" s="5" t="s">
        <v>12</v>
      </c>
      <c r="E8613" s="5" t="s">
        <v>3962</v>
      </c>
    </row>
    <row r="8614" spans="1:5" x14ac:dyDescent="0.25">
      <c r="A8614" s="5">
        <f>8606</f>
      </c>
      <c r="B8614" s="5" t="s">
        <v>7857</v>
      </c>
      <c r="C8614" s="5" t="s">
        <v>11</v>
      </c>
      <c r="D8614" s="5" t="s">
        <v>12</v>
      </c>
      <c r="E8614" s="5" t="s">
        <v>3962</v>
      </c>
    </row>
    <row r="8615" spans="1:5" x14ac:dyDescent="0.25">
      <c r="A8615" s="5">
        <f>8607</f>
      </c>
      <c r="B8615" s="5" t="s">
        <v>7858</v>
      </c>
      <c r="C8615" s="5" t="s">
        <v>11</v>
      </c>
      <c r="D8615" s="5" t="s">
        <v>12</v>
      </c>
      <c r="E8615" s="5" t="s">
        <v>3962</v>
      </c>
    </row>
    <row r="8616" spans="1:5" x14ac:dyDescent="0.25">
      <c r="A8616" s="5">
        <f>8608</f>
      </c>
      <c r="B8616" s="5" t="s">
        <v>7859</v>
      </c>
      <c r="C8616" s="5" t="s">
        <v>11</v>
      </c>
      <c r="D8616" s="5" t="s">
        <v>12</v>
      </c>
      <c r="E8616" s="5" t="s">
        <v>3962</v>
      </c>
    </row>
    <row r="8617" spans="1:5" x14ac:dyDescent="0.25">
      <c r="A8617" s="5">
        <f>8609</f>
      </c>
      <c r="B8617" s="5" t="s">
        <v>7860</v>
      </c>
      <c r="C8617" s="5" t="s">
        <v>11</v>
      </c>
      <c r="D8617" s="5" t="s">
        <v>12</v>
      </c>
      <c r="E8617" s="5" t="s">
        <v>3962</v>
      </c>
    </row>
    <row r="8618" spans="1:5" x14ac:dyDescent="0.25">
      <c r="A8618" s="5">
        <f>8610</f>
      </c>
      <c r="B8618" s="5" t="s">
        <v>7861</v>
      </c>
      <c r="C8618" s="5" t="s">
        <v>11</v>
      </c>
      <c r="D8618" s="5" t="s">
        <v>12</v>
      </c>
      <c r="E8618" s="5" t="s">
        <v>3962</v>
      </c>
    </row>
    <row r="8619" spans="1:5" x14ac:dyDescent="0.25">
      <c r="A8619" s="5">
        <f>8611</f>
      </c>
      <c r="B8619" s="5" t="s">
        <v>7862</v>
      </c>
      <c r="C8619" s="5" t="s">
        <v>11</v>
      </c>
      <c r="D8619" s="5" t="s">
        <v>12</v>
      </c>
      <c r="E8619" s="5" t="s">
        <v>3962</v>
      </c>
    </row>
    <row r="8620" spans="1:5" x14ac:dyDescent="0.25">
      <c r="A8620" s="5">
        <f>8612</f>
      </c>
      <c r="B8620" s="5" t="s">
        <v>7863</v>
      </c>
      <c r="C8620" s="5" t="s">
        <v>11</v>
      </c>
      <c r="D8620" s="5" t="s">
        <v>12</v>
      </c>
      <c r="E8620" s="5" t="s">
        <v>3962</v>
      </c>
    </row>
    <row r="8621" spans="1:5" x14ac:dyDescent="0.25">
      <c r="A8621" s="5">
        <f>8613</f>
      </c>
      <c r="B8621" s="5" t="s">
        <v>7864</v>
      </c>
      <c r="C8621" s="5" t="s">
        <v>11</v>
      </c>
      <c r="D8621" s="5" t="s">
        <v>12</v>
      </c>
      <c r="E8621" s="5" t="s">
        <v>3962</v>
      </c>
    </row>
    <row r="8622" spans="1:5" x14ac:dyDescent="0.25">
      <c r="A8622" s="5">
        <f>8614</f>
      </c>
      <c r="B8622" s="5" t="s">
        <v>7865</v>
      </c>
      <c r="C8622" s="5" t="s">
        <v>11</v>
      </c>
      <c r="D8622" s="5" t="s">
        <v>12</v>
      </c>
      <c r="E8622" s="5" t="s">
        <v>3962</v>
      </c>
    </row>
    <row r="8623" spans="1:5" x14ac:dyDescent="0.25">
      <c r="A8623" s="5">
        <f>8615</f>
      </c>
      <c r="B8623" s="5" t="s">
        <v>7866</v>
      </c>
      <c r="C8623" s="5" t="s">
        <v>11</v>
      </c>
      <c r="D8623" s="5" t="s">
        <v>12</v>
      </c>
      <c r="E8623" s="5" t="s">
        <v>3962</v>
      </c>
    </row>
    <row r="8624" spans="1:5" x14ac:dyDescent="0.25">
      <c r="A8624" s="5">
        <f>8616</f>
      </c>
      <c r="B8624" s="5" t="s">
        <v>7867</v>
      </c>
      <c r="C8624" s="5" t="s">
        <v>11</v>
      </c>
      <c r="D8624" s="5" t="s">
        <v>12</v>
      </c>
      <c r="E8624" s="5" t="s">
        <v>3962</v>
      </c>
    </row>
    <row r="8625" spans="1:5" x14ac:dyDescent="0.25">
      <c r="A8625" s="5">
        <f>8617</f>
      </c>
      <c r="B8625" s="5" t="s">
        <v>7868</v>
      </c>
      <c r="C8625" s="5" t="s">
        <v>11</v>
      </c>
      <c r="D8625" s="5" t="s">
        <v>12</v>
      </c>
      <c r="E8625" s="5" t="s">
        <v>3962</v>
      </c>
    </row>
    <row r="8626" spans="1:5" x14ac:dyDescent="0.25">
      <c r="A8626" s="5">
        <f>8618</f>
      </c>
      <c r="B8626" s="5" t="s">
        <v>7869</v>
      </c>
      <c r="C8626" s="5" t="s">
        <v>11</v>
      </c>
      <c r="D8626" s="5" t="s">
        <v>12</v>
      </c>
      <c r="E8626" s="5" t="s">
        <v>3962</v>
      </c>
    </row>
    <row r="8627" spans="1:5" x14ac:dyDescent="0.25">
      <c r="A8627" s="5">
        <f>8619</f>
      </c>
      <c r="B8627" s="5" t="s">
        <v>7870</v>
      </c>
      <c r="C8627" s="5" t="s">
        <v>11</v>
      </c>
      <c r="D8627" s="5" t="s">
        <v>12</v>
      </c>
      <c r="E8627" s="5" t="s">
        <v>3962</v>
      </c>
    </row>
    <row r="8628" spans="1:5" x14ac:dyDescent="0.25">
      <c r="A8628" s="5">
        <f>8620</f>
      </c>
      <c r="B8628" s="5" t="s">
        <v>7871</v>
      </c>
      <c r="C8628" s="5" t="s">
        <v>11</v>
      </c>
      <c r="D8628" s="5" t="s">
        <v>12</v>
      </c>
      <c r="E8628" s="5" t="s">
        <v>3962</v>
      </c>
    </row>
    <row r="8629" spans="1:5" x14ac:dyDescent="0.25">
      <c r="A8629" s="5">
        <f>8621</f>
      </c>
      <c r="B8629" s="5" t="s">
        <v>7872</v>
      </c>
      <c r="C8629" s="5" t="s">
        <v>11</v>
      </c>
      <c r="D8629" s="5" t="s">
        <v>12</v>
      </c>
      <c r="E8629" s="5" t="s">
        <v>3962</v>
      </c>
    </row>
    <row r="8630" spans="1:5" x14ac:dyDescent="0.25">
      <c r="A8630" s="5">
        <f>8622</f>
      </c>
      <c r="B8630" s="5" t="s">
        <v>7873</v>
      </c>
      <c r="C8630" s="5" t="s">
        <v>11</v>
      </c>
      <c r="D8630" s="5" t="s">
        <v>12</v>
      </c>
      <c r="E8630" s="5" t="s">
        <v>3962</v>
      </c>
    </row>
    <row r="8631" spans="1:5" x14ac:dyDescent="0.25">
      <c r="A8631" s="5">
        <f>8623</f>
      </c>
      <c r="B8631" s="5" t="s">
        <v>7874</v>
      </c>
      <c r="C8631" s="5" t="s">
        <v>11</v>
      </c>
      <c r="D8631" s="5" t="s">
        <v>12</v>
      </c>
      <c r="E8631" s="5" t="s">
        <v>3962</v>
      </c>
    </row>
    <row r="8632" spans="1:5" x14ac:dyDescent="0.25">
      <c r="A8632" s="5">
        <f>8624</f>
      </c>
      <c r="B8632" s="5" t="s">
        <v>7875</v>
      </c>
      <c r="C8632" s="5" t="s">
        <v>11</v>
      </c>
      <c r="D8632" s="5" t="s">
        <v>12</v>
      </c>
      <c r="E8632" s="5" t="s">
        <v>3962</v>
      </c>
    </row>
    <row r="8633" spans="1:5" x14ac:dyDescent="0.25">
      <c r="A8633" s="5">
        <f>8625</f>
      </c>
      <c r="B8633" s="5" t="s">
        <v>7876</v>
      </c>
      <c r="C8633" s="5" t="s">
        <v>11</v>
      </c>
      <c r="D8633" s="5" t="s">
        <v>12</v>
      </c>
      <c r="E8633" s="5" t="s">
        <v>3962</v>
      </c>
    </row>
    <row r="8634" spans="1:5" x14ac:dyDescent="0.25">
      <c r="A8634" s="5">
        <f>8626</f>
      </c>
      <c r="B8634" s="5" t="s">
        <v>7877</v>
      </c>
      <c r="C8634" s="5" t="s">
        <v>11</v>
      </c>
      <c r="D8634" s="5" t="s">
        <v>12</v>
      </c>
      <c r="E8634" s="5" t="s">
        <v>3962</v>
      </c>
    </row>
    <row r="8635" spans="1:5" x14ac:dyDescent="0.25">
      <c r="A8635" s="5">
        <f>8627</f>
      </c>
      <c r="B8635" s="5" t="s">
        <v>7878</v>
      </c>
      <c r="C8635" s="5" t="s">
        <v>11</v>
      </c>
      <c r="D8635" s="5" t="s">
        <v>12</v>
      </c>
      <c r="E8635" s="5" t="s">
        <v>3962</v>
      </c>
    </row>
    <row r="8636" spans="1:5" x14ac:dyDescent="0.25">
      <c r="A8636" s="5">
        <f>8628</f>
      </c>
      <c r="B8636" s="5" t="s">
        <v>7879</v>
      </c>
      <c r="C8636" s="5" t="s">
        <v>11</v>
      </c>
      <c r="D8636" s="5" t="s">
        <v>12</v>
      </c>
      <c r="E8636" s="5" t="s">
        <v>3962</v>
      </c>
    </row>
    <row r="8637" spans="1:5" x14ac:dyDescent="0.25">
      <c r="A8637" s="5">
        <f>8629</f>
      </c>
      <c r="B8637" s="5" t="s">
        <v>7880</v>
      </c>
      <c r="C8637" s="5" t="s">
        <v>11</v>
      </c>
      <c r="D8637" s="5" t="s">
        <v>12</v>
      </c>
      <c r="E8637" s="5" t="s">
        <v>3962</v>
      </c>
    </row>
    <row r="8638" spans="1:5" x14ac:dyDescent="0.25">
      <c r="A8638" s="5">
        <f>8630</f>
      </c>
      <c r="B8638" s="5" t="s">
        <v>7881</v>
      </c>
      <c r="C8638" s="5" t="s">
        <v>11</v>
      </c>
      <c r="D8638" s="5" t="s">
        <v>12</v>
      </c>
      <c r="E8638" s="5" t="s">
        <v>3962</v>
      </c>
    </row>
    <row r="8639" spans="1:5" x14ac:dyDescent="0.25">
      <c r="A8639" s="5">
        <f>8631</f>
      </c>
      <c r="B8639" s="5" t="s">
        <v>7882</v>
      </c>
      <c r="C8639" s="5" t="s">
        <v>11</v>
      </c>
      <c r="D8639" s="5" t="s">
        <v>12</v>
      </c>
      <c r="E8639" s="5" t="s">
        <v>3962</v>
      </c>
    </row>
    <row r="8640" spans="1:5" x14ac:dyDescent="0.25">
      <c r="A8640" s="5">
        <f>8632</f>
      </c>
      <c r="B8640" s="5" t="s">
        <v>7883</v>
      </c>
      <c r="C8640" s="5" t="s">
        <v>11</v>
      </c>
      <c r="D8640" s="5" t="s">
        <v>12</v>
      </c>
      <c r="E8640" s="5" t="s">
        <v>3962</v>
      </c>
    </row>
    <row r="8641" spans="1:5" x14ac:dyDescent="0.25">
      <c r="A8641" s="5">
        <f>8633</f>
      </c>
      <c r="B8641" s="5" t="s">
        <v>7884</v>
      </c>
      <c r="C8641" s="5" t="s">
        <v>11</v>
      </c>
      <c r="D8641" s="5" t="s">
        <v>12</v>
      </c>
      <c r="E8641" s="5" t="s">
        <v>3962</v>
      </c>
    </row>
    <row r="8642" spans="1:5" x14ac:dyDescent="0.25">
      <c r="A8642" s="5">
        <f>8634</f>
      </c>
      <c r="B8642" s="5" t="s">
        <v>7885</v>
      </c>
      <c r="C8642" s="5" t="s">
        <v>11</v>
      </c>
      <c r="D8642" s="5" t="s">
        <v>12</v>
      </c>
      <c r="E8642" s="5" t="s">
        <v>3962</v>
      </c>
    </row>
    <row r="8643" spans="1:5" x14ac:dyDescent="0.25">
      <c r="A8643" s="5">
        <f>8635</f>
      </c>
      <c r="B8643" s="5" t="s">
        <v>7886</v>
      </c>
      <c r="C8643" s="5" t="s">
        <v>11</v>
      </c>
      <c r="D8643" s="5" t="s">
        <v>12</v>
      </c>
      <c r="E8643" s="5" t="s">
        <v>3962</v>
      </c>
    </row>
    <row r="8644" spans="1:5" x14ac:dyDescent="0.25">
      <c r="A8644" s="5">
        <f>8636</f>
      </c>
      <c r="B8644" s="5" t="s">
        <v>7887</v>
      </c>
      <c r="C8644" s="5" t="s">
        <v>11</v>
      </c>
      <c r="D8644" s="5" t="s">
        <v>12</v>
      </c>
      <c r="E8644" s="5" t="s">
        <v>3962</v>
      </c>
    </row>
    <row r="8645" spans="1:5" x14ac:dyDescent="0.25">
      <c r="A8645" s="5">
        <f>8637</f>
      </c>
      <c r="B8645" s="5" t="s">
        <v>7888</v>
      </c>
      <c r="C8645" s="5" t="s">
        <v>11</v>
      </c>
      <c r="D8645" s="5" t="s">
        <v>12</v>
      </c>
      <c r="E8645" s="5" t="s">
        <v>3962</v>
      </c>
    </row>
    <row r="8646" spans="1:5" x14ac:dyDescent="0.25">
      <c r="A8646" s="5">
        <f>8638</f>
      </c>
      <c r="B8646" s="5" t="s">
        <v>7889</v>
      </c>
      <c r="C8646" s="5" t="s">
        <v>11</v>
      </c>
      <c r="D8646" s="5" t="s">
        <v>12</v>
      </c>
      <c r="E8646" s="5" t="s">
        <v>3962</v>
      </c>
    </row>
    <row r="8647" spans="1:5" x14ac:dyDescent="0.25">
      <c r="A8647" s="5">
        <f>8639</f>
      </c>
      <c r="B8647" s="5" t="s">
        <v>7890</v>
      </c>
      <c r="C8647" s="5" t="s">
        <v>11</v>
      </c>
      <c r="D8647" s="5" t="s">
        <v>12</v>
      </c>
      <c r="E8647" s="5" t="s">
        <v>3962</v>
      </c>
    </row>
    <row r="8648" spans="1:5" x14ac:dyDescent="0.25">
      <c r="A8648" s="5">
        <f>8640</f>
      </c>
      <c r="B8648" s="5" t="s">
        <v>7891</v>
      </c>
      <c r="C8648" s="5" t="s">
        <v>11</v>
      </c>
      <c r="D8648" s="5" t="s">
        <v>12</v>
      </c>
      <c r="E8648" s="5" t="s">
        <v>3962</v>
      </c>
    </row>
    <row r="8649" spans="1:5" x14ac:dyDescent="0.25">
      <c r="A8649" s="5">
        <f>8641</f>
      </c>
      <c r="B8649" s="5" t="s">
        <v>7892</v>
      </c>
      <c r="C8649" s="5" t="s">
        <v>11</v>
      </c>
      <c r="D8649" s="5" t="s">
        <v>12</v>
      </c>
      <c r="E8649" s="5" t="s">
        <v>3962</v>
      </c>
    </row>
    <row r="8650" spans="1:5" x14ac:dyDescent="0.25">
      <c r="A8650" s="5">
        <f>8642</f>
      </c>
      <c r="B8650" s="5" t="s">
        <v>7893</v>
      </c>
      <c r="C8650" s="5" t="s">
        <v>11</v>
      </c>
      <c r="D8650" s="5" t="s">
        <v>12</v>
      </c>
      <c r="E8650" s="5" t="s">
        <v>3962</v>
      </c>
    </row>
    <row r="8651" spans="1:5" x14ac:dyDescent="0.25">
      <c r="A8651" s="5">
        <f>8643</f>
      </c>
      <c r="B8651" s="5" t="s">
        <v>7894</v>
      </c>
      <c r="C8651" s="5" t="s">
        <v>11</v>
      </c>
      <c r="D8651" s="5" t="s">
        <v>12</v>
      </c>
      <c r="E8651" s="5" t="s">
        <v>3962</v>
      </c>
    </row>
    <row r="8652" spans="1:5" x14ac:dyDescent="0.25">
      <c r="A8652" s="5">
        <f>8644</f>
      </c>
      <c r="B8652" s="5" t="s">
        <v>7895</v>
      </c>
      <c r="C8652" s="5" t="s">
        <v>11</v>
      </c>
      <c r="D8652" s="5" t="s">
        <v>12</v>
      </c>
      <c r="E8652" s="5" t="s">
        <v>3962</v>
      </c>
    </row>
    <row r="8653" spans="1:5" x14ac:dyDescent="0.25">
      <c r="A8653" s="5">
        <f>8645</f>
      </c>
      <c r="B8653" s="5" t="s">
        <v>7896</v>
      </c>
      <c r="C8653" s="5" t="s">
        <v>11</v>
      </c>
      <c r="D8653" s="5" t="s">
        <v>12</v>
      </c>
      <c r="E8653" s="5" t="s">
        <v>3962</v>
      </c>
    </row>
    <row r="8654" spans="1:5" x14ac:dyDescent="0.25">
      <c r="A8654" s="5">
        <f>8646</f>
      </c>
      <c r="B8654" s="5" t="s">
        <v>7897</v>
      </c>
      <c r="C8654" s="5" t="s">
        <v>11</v>
      </c>
      <c r="D8654" s="5" t="s">
        <v>12</v>
      </c>
      <c r="E8654" s="5" t="s">
        <v>3962</v>
      </c>
    </row>
    <row r="8655" spans="1:5" x14ac:dyDescent="0.25">
      <c r="A8655" s="5">
        <f>8647</f>
      </c>
      <c r="B8655" s="5" t="s">
        <v>7898</v>
      </c>
      <c r="C8655" s="5" t="s">
        <v>11</v>
      </c>
      <c r="D8655" s="5" t="s">
        <v>12</v>
      </c>
      <c r="E8655" s="5" t="s">
        <v>3962</v>
      </c>
    </row>
    <row r="8656" spans="1:5" x14ac:dyDescent="0.25">
      <c r="A8656" s="5">
        <f>8648</f>
      </c>
      <c r="B8656" s="5" t="s">
        <v>7899</v>
      </c>
      <c r="C8656" s="5" t="s">
        <v>11</v>
      </c>
      <c r="D8656" s="5" t="s">
        <v>12</v>
      </c>
      <c r="E8656" s="5" t="s">
        <v>3962</v>
      </c>
    </row>
    <row r="8657" spans="1:5" x14ac:dyDescent="0.25">
      <c r="A8657" s="5">
        <f>8649</f>
      </c>
      <c r="B8657" s="5" t="s">
        <v>7900</v>
      </c>
      <c r="C8657" s="5" t="s">
        <v>11</v>
      </c>
      <c r="D8657" s="5" t="s">
        <v>12</v>
      </c>
      <c r="E8657" s="5" t="s">
        <v>3962</v>
      </c>
    </row>
    <row r="8658" spans="1:5" x14ac:dyDescent="0.25">
      <c r="A8658" s="5">
        <f>8650</f>
      </c>
      <c r="B8658" s="5" t="s">
        <v>7901</v>
      </c>
      <c r="C8658" s="5" t="s">
        <v>11</v>
      </c>
      <c r="D8658" s="5" t="s">
        <v>12</v>
      </c>
      <c r="E8658" s="5" t="s">
        <v>3962</v>
      </c>
    </row>
    <row r="8659" spans="1:5" x14ac:dyDescent="0.25">
      <c r="A8659" s="5">
        <f>8651</f>
      </c>
      <c r="B8659" s="5" t="s">
        <v>7902</v>
      </c>
      <c r="C8659" s="5" t="s">
        <v>11</v>
      </c>
      <c r="D8659" s="5" t="s">
        <v>12</v>
      </c>
      <c r="E8659" s="5" t="s">
        <v>3962</v>
      </c>
    </row>
    <row r="8660" spans="1:5" x14ac:dyDescent="0.25">
      <c r="A8660" s="5">
        <f>8652</f>
      </c>
      <c r="B8660" s="5" t="s">
        <v>7903</v>
      </c>
      <c r="C8660" s="5" t="s">
        <v>11</v>
      </c>
      <c r="D8660" s="5" t="s">
        <v>12</v>
      </c>
      <c r="E8660" s="5" t="s">
        <v>3962</v>
      </c>
    </row>
    <row r="8661" spans="1:5" x14ac:dyDescent="0.25">
      <c r="A8661" s="5">
        <f>8653</f>
      </c>
      <c r="B8661" s="5" t="s">
        <v>7904</v>
      </c>
      <c r="C8661" s="5" t="s">
        <v>11</v>
      </c>
      <c r="D8661" s="5" t="s">
        <v>12</v>
      </c>
      <c r="E8661" s="5" t="s">
        <v>3962</v>
      </c>
    </row>
    <row r="8662" spans="1:5" x14ac:dyDescent="0.25">
      <c r="A8662" s="5">
        <f>8654</f>
      </c>
      <c r="B8662" s="5" t="s">
        <v>7905</v>
      </c>
      <c r="C8662" s="5" t="s">
        <v>11</v>
      </c>
      <c r="D8662" s="5" t="s">
        <v>12</v>
      </c>
      <c r="E8662" s="5" t="s">
        <v>3962</v>
      </c>
    </row>
    <row r="8663" spans="1:5" x14ac:dyDescent="0.25">
      <c r="A8663" s="5">
        <f>8655</f>
      </c>
      <c r="B8663" s="5" t="s">
        <v>7906</v>
      </c>
      <c r="C8663" s="5" t="s">
        <v>11</v>
      </c>
      <c r="D8663" s="5" t="s">
        <v>12</v>
      </c>
      <c r="E8663" s="5" t="s">
        <v>3962</v>
      </c>
    </row>
    <row r="8664" spans="1:5" x14ac:dyDescent="0.25">
      <c r="A8664" s="5">
        <f>8656</f>
      </c>
      <c r="B8664" s="5" t="s">
        <v>7907</v>
      </c>
      <c r="C8664" s="5" t="s">
        <v>11</v>
      </c>
      <c r="D8664" s="5" t="s">
        <v>12</v>
      </c>
      <c r="E8664" s="5" t="s">
        <v>3962</v>
      </c>
    </row>
    <row r="8665" spans="1:5" x14ac:dyDescent="0.25">
      <c r="A8665" s="5">
        <f>8657</f>
      </c>
      <c r="B8665" s="5" t="s">
        <v>7908</v>
      </c>
      <c r="C8665" s="5" t="s">
        <v>11</v>
      </c>
      <c r="D8665" s="5" t="s">
        <v>12</v>
      </c>
      <c r="E8665" s="5" t="s">
        <v>3962</v>
      </c>
    </row>
    <row r="8666" spans="1:5" x14ac:dyDescent="0.25">
      <c r="A8666" s="5">
        <f>8658</f>
      </c>
      <c r="B8666" s="5" t="s">
        <v>7909</v>
      </c>
      <c r="C8666" s="5" t="s">
        <v>11</v>
      </c>
      <c r="D8666" s="5" t="s">
        <v>12</v>
      </c>
      <c r="E8666" s="5" t="s">
        <v>3962</v>
      </c>
    </row>
    <row r="8667" spans="1:5" x14ac:dyDescent="0.25">
      <c r="A8667" s="5">
        <f>8659</f>
      </c>
      <c r="B8667" s="5" t="s">
        <v>7910</v>
      </c>
      <c r="C8667" s="5" t="s">
        <v>11</v>
      </c>
      <c r="D8667" s="5" t="s">
        <v>12</v>
      </c>
      <c r="E8667" s="5" t="s">
        <v>3962</v>
      </c>
    </row>
    <row r="8668" spans="1:5" x14ac:dyDescent="0.25">
      <c r="A8668" s="5">
        <f>8660</f>
      </c>
      <c r="B8668" s="5" t="s">
        <v>7911</v>
      </c>
      <c r="C8668" s="5" t="s">
        <v>11</v>
      </c>
      <c r="D8668" s="5" t="s">
        <v>12</v>
      </c>
      <c r="E8668" s="5" t="s">
        <v>3962</v>
      </c>
    </row>
    <row r="8669" spans="1:5" x14ac:dyDescent="0.25">
      <c r="A8669" s="5">
        <f>8661</f>
      </c>
      <c r="B8669" s="5" t="s">
        <v>7912</v>
      </c>
      <c r="C8669" s="5" t="s">
        <v>11</v>
      </c>
      <c r="D8669" s="5" t="s">
        <v>12</v>
      </c>
      <c r="E8669" s="5" t="s">
        <v>3962</v>
      </c>
    </row>
    <row r="8670" spans="1:5" x14ac:dyDescent="0.25">
      <c r="A8670" s="5">
        <f>8662</f>
      </c>
      <c r="B8670" s="5" t="s">
        <v>7913</v>
      </c>
      <c r="C8670" s="5" t="s">
        <v>11</v>
      </c>
      <c r="D8670" s="5" t="s">
        <v>12</v>
      </c>
      <c r="E8670" s="5" t="s">
        <v>3962</v>
      </c>
    </row>
    <row r="8671" spans="1:5" x14ac:dyDescent="0.25">
      <c r="A8671" s="5">
        <f>8663</f>
      </c>
      <c r="B8671" s="5" t="s">
        <v>7914</v>
      </c>
      <c r="C8671" s="5" t="s">
        <v>11</v>
      </c>
      <c r="D8671" s="5" t="s">
        <v>12</v>
      </c>
      <c r="E8671" s="5" t="s">
        <v>3962</v>
      </c>
    </row>
    <row r="8672" spans="1:5" x14ac:dyDescent="0.25">
      <c r="A8672" s="5">
        <f>8664</f>
      </c>
      <c r="B8672" s="5" t="s">
        <v>7915</v>
      </c>
      <c r="C8672" s="5" t="s">
        <v>11</v>
      </c>
      <c r="D8672" s="5" t="s">
        <v>12</v>
      </c>
      <c r="E8672" s="5" t="s">
        <v>3962</v>
      </c>
    </row>
    <row r="8673" spans="1:5" x14ac:dyDescent="0.25">
      <c r="A8673" s="5">
        <f>8665</f>
      </c>
      <c r="B8673" s="5" t="s">
        <v>7916</v>
      </c>
      <c r="C8673" s="5" t="s">
        <v>11</v>
      </c>
      <c r="D8673" s="5" t="s">
        <v>12</v>
      </c>
      <c r="E8673" s="5" t="s">
        <v>3962</v>
      </c>
    </row>
    <row r="8674" spans="1:5" x14ac:dyDescent="0.25">
      <c r="A8674" s="5">
        <f>8666</f>
      </c>
      <c r="B8674" s="5" t="s">
        <v>7917</v>
      </c>
      <c r="C8674" s="5" t="s">
        <v>11</v>
      </c>
      <c r="D8674" s="5" t="s">
        <v>12</v>
      </c>
      <c r="E8674" s="5" t="s">
        <v>3962</v>
      </c>
    </row>
    <row r="8675" spans="1:5" x14ac:dyDescent="0.25">
      <c r="A8675" s="5">
        <f>8667</f>
      </c>
      <c r="B8675" s="5" t="s">
        <v>7918</v>
      </c>
      <c r="C8675" s="5" t="s">
        <v>11</v>
      </c>
      <c r="D8675" s="5" t="s">
        <v>12</v>
      </c>
      <c r="E8675" s="5" t="s">
        <v>3962</v>
      </c>
    </row>
    <row r="8676" spans="1:5" x14ac:dyDescent="0.25">
      <c r="A8676" s="5">
        <f>8668</f>
      </c>
      <c r="B8676" s="5" t="s">
        <v>7919</v>
      </c>
      <c r="C8676" s="5" t="s">
        <v>11</v>
      </c>
      <c r="D8676" s="5" t="s">
        <v>12</v>
      </c>
      <c r="E8676" s="5" t="s">
        <v>3962</v>
      </c>
    </row>
    <row r="8677" spans="1:5" x14ac:dyDescent="0.25">
      <c r="A8677" s="5">
        <f>8669</f>
      </c>
      <c r="B8677" s="5" t="s">
        <v>7920</v>
      </c>
      <c r="C8677" s="5" t="s">
        <v>11</v>
      </c>
      <c r="D8677" s="5" t="s">
        <v>12</v>
      </c>
      <c r="E8677" s="5" t="s">
        <v>3962</v>
      </c>
    </row>
    <row r="8678" spans="1:5" x14ac:dyDescent="0.25">
      <c r="A8678" s="5">
        <f>8670</f>
      </c>
      <c r="B8678" s="5" t="s">
        <v>7921</v>
      </c>
      <c r="C8678" s="5" t="s">
        <v>11</v>
      </c>
      <c r="D8678" s="5" t="s">
        <v>12</v>
      </c>
      <c r="E8678" s="5" t="s">
        <v>3962</v>
      </c>
    </row>
    <row r="8679" spans="1:5" x14ac:dyDescent="0.25">
      <c r="A8679" s="5">
        <f>8671</f>
      </c>
      <c r="B8679" s="5" t="s">
        <v>7922</v>
      </c>
      <c r="C8679" s="5" t="s">
        <v>11</v>
      </c>
      <c r="D8679" s="5" t="s">
        <v>12</v>
      </c>
      <c r="E8679" s="5" t="s">
        <v>3962</v>
      </c>
    </row>
    <row r="8680" spans="1:5" x14ac:dyDescent="0.25">
      <c r="A8680" s="5">
        <f>8672</f>
      </c>
      <c r="B8680" s="5" t="s">
        <v>7923</v>
      </c>
      <c r="C8680" s="5" t="s">
        <v>11</v>
      </c>
      <c r="D8680" s="5" t="s">
        <v>12</v>
      </c>
      <c r="E8680" s="5" t="s">
        <v>3962</v>
      </c>
    </row>
    <row r="8681" spans="1:5" x14ac:dyDescent="0.25">
      <c r="A8681" s="5">
        <f>8673</f>
      </c>
      <c r="B8681" s="5" t="s">
        <v>7924</v>
      </c>
      <c r="C8681" s="5" t="s">
        <v>11</v>
      </c>
      <c r="D8681" s="5" t="s">
        <v>12</v>
      </c>
      <c r="E8681" s="5" t="s">
        <v>3962</v>
      </c>
    </row>
    <row r="8682" spans="1:5" x14ac:dyDescent="0.25">
      <c r="A8682" s="5">
        <f>8674</f>
      </c>
      <c r="B8682" s="5" t="s">
        <v>7925</v>
      </c>
      <c r="C8682" s="5" t="s">
        <v>11</v>
      </c>
      <c r="D8682" s="5" t="s">
        <v>12</v>
      </c>
      <c r="E8682" s="5" t="s">
        <v>3962</v>
      </c>
    </row>
    <row r="8683" spans="1:5" x14ac:dyDescent="0.25">
      <c r="A8683" s="5">
        <f>8675</f>
      </c>
      <c r="B8683" s="5" t="s">
        <v>7926</v>
      </c>
      <c r="C8683" s="5" t="s">
        <v>11</v>
      </c>
      <c r="D8683" s="5" t="s">
        <v>12</v>
      </c>
      <c r="E8683" s="5" t="s">
        <v>3962</v>
      </c>
    </row>
    <row r="8684" spans="1:5" x14ac:dyDescent="0.25">
      <c r="A8684" s="5">
        <f>8676</f>
      </c>
      <c r="B8684" s="5" t="s">
        <v>7927</v>
      </c>
      <c r="C8684" s="5" t="s">
        <v>11</v>
      </c>
      <c r="D8684" s="5" t="s">
        <v>12</v>
      </c>
      <c r="E8684" s="5" t="s">
        <v>3962</v>
      </c>
    </row>
    <row r="8685" spans="1:5" x14ac:dyDescent="0.25">
      <c r="A8685" s="5">
        <f>8677</f>
      </c>
      <c r="B8685" s="5" t="s">
        <v>7928</v>
      </c>
      <c r="C8685" s="5" t="s">
        <v>11</v>
      </c>
      <c r="D8685" s="5" t="s">
        <v>12</v>
      </c>
      <c r="E8685" s="5" t="s">
        <v>3962</v>
      </c>
    </row>
    <row r="8686" spans="1:5" x14ac:dyDescent="0.25">
      <c r="A8686" s="5">
        <f>8678</f>
      </c>
      <c r="B8686" s="5" t="s">
        <v>7929</v>
      </c>
      <c r="C8686" s="5" t="s">
        <v>11</v>
      </c>
      <c r="D8686" s="5" t="s">
        <v>12</v>
      </c>
      <c r="E8686" s="5" t="s">
        <v>3962</v>
      </c>
    </row>
    <row r="8687" spans="1:5" x14ac:dyDescent="0.25">
      <c r="A8687" s="5">
        <f>8679</f>
      </c>
      <c r="B8687" s="5" t="s">
        <v>7930</v>
      </c>
      <c r="C8687" s="5" t="s">
        <v>11</v>
      </c>
      <c r="D8687" s="5" t="s">
        <v>12</v>
      </c>
      <c r="E8687" s="5" t="s">
        <v>3962</v>
      </c>
    </row>
    <row r="8688" spans="1:5" x14ac:dyDescent="0.25">
      <c r="A8688" s="5">
        <f>8680</f>
      </c>
      <c r="B8688" s="5" t="s">
        <v>7931</v>
      </c>
      <c r="C8688" s="5" t="s">
        <v>11</v>
      </c>
      <c r="D8688" s="5" t="s">
        <v>12</v>
      </c>
      <c r="E8688" s="5" t="s">
        <v>3962</v>
      </c>
    </row>
    <row r="8689" spans="1:5" x14ac:dyDescent="0.25">
      <c r="A8689" s="5">
        <f>8681</f>
      </c>
      <c r="B8689" s="5" t="s">
        <v>7932</v>
      </c>
      <c r="C8689" s="5" t="s">
        <v>11</v>
      </c>
      <c r="D8689" s="5" t="s">
        <v>12</v>
      </c>
      <c r="E8689" s="5" t="s">
        <v>3962</v>
      </c>
    </row>
    <row r="8690" spans="1:5" x14ac:dyDescent="0.25">
      <c r="A8690" s="5">
        <f>8682</f>
      </c>
      <c r="B8690" s="5" t="s">
        <v>7933</v>
      </c>
      <c r="C8690" s="5" t="s">
        <v>11</v>
      </c>
      <c r="D8690" s="5" t="s">
        <v>12</v>
      </c>
      <c r="E8690" s="5" t="s">
        <v>3962</v>
      </c>
    </row>
    <row r="8691" spans="1:5" x14ac:dyDescent="0.25">
      <c r="A8691" s="5">
        <f>8683</f>
      </c>
      <c r="B8691" s="5" t="s">
        <v>7934</v>
      </c>
      <c r="C8691" s="5" t="s">
        <v>11</v>
      </c>
      <c r="D8691" s="5" t="s">
        <v>12</v>
      </c>
      <c r="E8691" s="5" t="s">
        <v>3962</v>
      </c>
    </row>
    <row r="8692" spans="1:5" x14ac:dyDescent="0.25">
      <c r="A8692" s="5">
        <f>8684</f>
      </c>
      <c r="B8692" s="5" t="s">
        <v>7935</v>
      </c>
      <c r="C8692" s="5" t="s">
        <v>11</v>
      </c>
      <c r="D8692" s="5" t="s">
        <v>12</v>
      </c>
      <c r="E8692" s="5" t="s">
        <v>3962</v>
      </c>
    </row>
    <row r="8693" spans="1:5" x14ac:dyDescent="0.25">
      <c r="A8693" s="5">
        <f>8685</f>
      </c>
      <c r="B8693" s="5" t="s">
        <v>7936</v>
      </c>
      <c r="C8693" s="5" t="s">
        <v>11</v>
      </c>
      <c r="D8693" s="5" t="s">
        <v>12</v>
      </c>
      <c r="E8693" s="5" t="s">
        <v>3962</v>
      </c>
    </row>
    <row r="8694" spans="1:5" x14ac:dyDescent="0.25">
      <c r="A8694" s="5">
        <f>8686</f>
      </c>
      <c r="B8694" s="5" t="s">
        <v>7937</v>
      </c>
      <c r="C8694" s="5" t="s">
        <v>11</v>
      </c>
      <c r="D8694" s="5" t="s">
        <v>12</v>
      </c>
      <c r="E8694" s="5" t="s">
        <v>3962</v>
      </c>
    </row>
    <row r="8695" spans="1:5" x14ac:dyDescent="0.25">
      <c r="A8695" s="5">
        <f>8687</f>
      </c>
      <c r="B8695" s="5" t="s">
        <v>7938</v>
      </c>
      <c r="C8695" s="5" t="s">
        <v>11</v>
      </c>
      <c r="D8695" s="5" t="s">
        <v>12</v>
      </c>
      <c r="E8695" s="5" t="s">
        <v>3962</v>
      </c>
    </row>
    <row r="8696" spans="1:5" x14ac:dyDescent="0.25">
      <c r="A8696" s="5">
        <f>8688</f>
      </c>
      <c r="B8696" s="5" t="s">
        <v>7939</v>
      </c>
      <c r="C8696" s="5" t="s">
        <v>11</v>
      </c>
      <c r="D8696" s="5" t="s">
        <v>12</v>
      </c>
      <c r="E8696" s="5" t="s">
        <v>3962</v>
      </c>
    </row>
    <row r="8697" spans="1:5" x14ac:dyDescent="0.25">
      <c r="A8697" s="5">
        <f>8689</f>
      </c>
      <c r="B8697" s="5" t="s">
        <v>7940</v>
      </c>
      <c r="C8697" s="5" t="s">
        <v>11</v>
      </c>
      <c r="D8697" s="5" t="s">
        <v>12</v>
      </c>
      <c r="E8697" s="5" t="s">
        <v>3962</v>
      </c>
    </row>
    <row r="8698" spans="1:5" x14ac:dyDescent="0.25">
      <c r="A8698" s="5">
        <f>8690</f>
      </c>
      <c r="B8698" s="5" t="s">
        <v>7941</v>
      </c>
      <c r="C8698" s="5" t="s">
        <v>11</v>
      </c>
      <c r="D8698" s="5" t="s">
        <v>12</v>
      </c>
      <c r="E8698" s="5" t="s">
        <v>3962</v>
      </c>
    </row>
    <row r="8699" spans="1:5" x14ac:dyDescent="0.25">
      <c r="A8699" s="5">
        <f>8691</f>
      </c>
      <c r="B8699" s="5" t="s">
        <v>7942</v>
      </c>
      <c r="C8699" s="5" t="s">
        <v>11</v>
      </c>
      <c r="D8699" s="5" t="s">
        <v>12</v>
      </c>
      <c r="E8699" s="5" t="s">
        <v>3962</v>
      </c>
    </row>
    <row r="8700" spans="1:5" x14ac:dyDescent="0.25">
      <c r="A8700" s="5">
        <f>8692</f>
      </c>
      <c r="B8700" s="5" t="s">
        <v>7943</v>
      </c>
      <c r="C8700" s="5" t="s">
        <v>11</v>
      </c>
      <c r="D8700" s="5" t="s">
        <v>12</v>
      </c>
      <c r="E8700" s="5" t="s">
        <v>3962</v>
      </c>
    </row>
    <row r="8701" spans="1:5" x14ac:dyDescent="0.25">
      <c r="A8701" s="5">
        <f>8693</f>
      </c>
      <c r="B8701" s="5" t="s">
        <v>7944</v>
      </c>
      <c r="C8701" s="5" t="s">
        <v>11</v>
      </c>
      <c r="D8701" s="5" t="s">
        <v>12</v>
      </c>
      <c r="E8701" s="5" t="s">
        <v>3962</v>
      </c>
    </row>
    <row r="8702" spans="1:5" x14ac:dyDescent="0.25">
      <c r="A8702" s="5">
        <f>8694</f>
      </c>
      <c r="B8702" s="5" t="s">
        <v>7945</v>
      </c>
      <c r="C8702" s="5" t="s">
        <v>11</v>
      </c>
      <c r="D8702" s="5" t="s">
        <v>12</v>
      </c>
      <c r="E8702" s="5" t="s">
        <v>3962</v>
      </c>
    </row>
    <row r="8703" spans="1:5" x14ac:dyDescent="0.25">
      <c r="A8703" s="5">
        <f>8695</f>
      </c>
      <c r="B8703" s="5" t="s">
        <v>7946</v>
      </c>
      <c r="C8703" s="5" t="s">
        <v>11</v>
      </c>
      <c r="D8703" s="5" t="s">
        <v>12</v>
      </c>
      <c r="E8703" s="5" t="s">
        <v>3962</v>
      </c>
    </row>
    <row r="8704" spans="1:5" x14ac:dyDescent="0.25">
      <c r="A8704" s="5">
        <f>8696</f>
      </c>
      <c r="B8704" s="5" t="s">
        <v>7947</v>
      </c>
      <c r="C8704" s="5" t="s">
        <v>11</v>
      </c>
      <c r="D8704" s="5" t="s">
        <v>12</v>
      </c>
      <c r="E8704" s="5" t="s">
        <v>3962</v>
      </c>
    </row>
    <row r="8705" spans="1:5" x14ac:dyDescent="0.25">
      <c r="A8705" s="5">
        <f>8697</f>
      </c>
      <c r="B8705" s="5" t="s">
        <v>7948</v>
      </c>
      <c r="C8705" s="5" t="s">
        <v>11</v>
      </c>
      <c r="D8705" s="5" t="s">
        <v>12</v>
      </c>
      <c r="E8705" s="5" t="s">
        <v>3962</v>
      </c>
    </row>
    <row r="8706" spans="1:5" x14ac:dyDescent="0.25">
      <c r="A8706" s="5">
        <f>8698</f>
      </c>
      <c r="B8706" s="5" t="s">
        <v>7949</v>
      </c>
      <c r="C8706" s="5" t="s">
        <v>11</v>
      </c>
      <c r="D8706" s="5" t="s">
        <v>12</v>
      </c>
      <c r="E8706" s="5" t="s">
        <v>3962</v>
      </c>
    </row>
    <row r="8707" spans="1:5" x14ac:dyDescent="0.25">
      <c r="A8707" s="5">
        <f>8699</f>
      </c>
      <c r="B8707" s="5" t="s">
        <v>7950</v>
      </c>
      <c r="C8707" s="5" t="s">
        <v>11</v>
      </c>
      <c r="D8707" s="5" t="s">
        <v>12</v>
      </c>
      <c r="E8707" s="5" t="s">
        <v>3962</v>
      </c>
    </row>
    <row r="8708" spans="1:5" x14ac:dyDescent="0.25">
      <c r="A8708" s="5">
        <f>8700</f>
      </c>
      <c r="B8708" s="5" t="s">
        <v>7951</v>
      </c>
      <c r="C8708" s="5" t="s">
        <v>11</v>
      </c>
      <c r="D8708" s="5" t="s">
        <v>12</v>
      </c>
      <c r="E8708" s="5" t="s">
        <v>3962</v>
      </c>
    </row>
    <row r="8709" spans="1:5" x14ac:dyDescent="0.25">
      <c r="A8709" s="5">
        <f>8701</f>
      </c>
      <c r="B8709" s="5" t="s">
        <v>7952</v>
      </c>
      <c r="C8709" s="5" t="s">
        <v>11</v>
      </c>
      <c r="D8709" s="5" t="s">
        <v>12</v>
      </c>
      <c r="E8709" s="5" t="s">
        <v>3962</v>
      </c>
    </row>
    <row r="8710" spans="1:5" x14ac:dyDescent="0.25">
      <c r="A8710" s="5">
        <f>8702</f>
      </c>
      <c r="B8710" s="5" t="s">
        <v>7953</v>
      </c>
      <c r="C8710" s="5" t="s">
        <v>11</v>
      </c>
      <c r="D8710" s="5" t="s">
        <v>12</v>
      </c>
      <c r="E8710" s="5" t="s">
        <v>3962</v>
      </c>
    </row>
    <row r="8711" spans="1:5" x14ac:dyDescent="0.25">
      <c r="A8711" s="5">
        <f>8703</f>
      </c>
      <c r="B8711" s="5" t="s">
        <v>7954</v>
      </c>
      <c r="C8711" s="5" t="s">
        <v>11</v>
      </c>
      <c r="D8711" s="5" t="s">
        <v>12</v>
      </c>
      <c r="E8711" s="5" t="s">
        <v>3962</v>
      </c>
    </row>
    <row r="8712" spans="1:5" x14ac:dyDescent="0.25">
      <c r="A8712" s="5">
        <f>8704</f>
      </c>
      <c r="B8712" s="5" t="s">
        <v>7955</v>
      </c>
      <c r="C8712" s="5" t="s">
        <v>11</v>
      </c>
      <c r="D8712" s="5" t="s">
        <v>12</v>
      </c>
      <c r="E8712" s="5" t="s">
        <v>3962</v>
      </c>
    </row>
    <row r="8713" spans="1:5" x14ac:dyDescent="0.25">
      <c r="A8713" s="5">
        <f>8705</f>
      </c>
      <c r="B8713" s="5" t="s">
        <v>7956</v>
      </c>
      <c r="C8713" s="5" t="s">
        <v>11</v>
      </c>
      <c r="D8713" s="5" t="s">
        <v>12</v>
      </c>
      <c r="E8713" s="5" t="s">
        <v>3962</v>
      </c>
    </row>
    <row r="8714" spans="1:5" x14ac:dyDescent="0.25">
      <c r="A8714" s="5">
        <f>8706</f>
      </c>
      <c r="B8714" s="5" t="s">
        <v>7957</v>
      </c>
      <c r="C8714" s="5" t="s">
        <v>11</v>
      </c>
      <c r="D8714" s="5" t="s">
        <v>12</v>
      </c>
      <c r="E8714" s="5" t="s">
        <v>3962</v>
      </c>
    </row>
    <row r="8715" spans="1:5" x14ac:dyDescent="0.25">
      <c r="A8715" s="5">
        <f>8707</f>
      </c>
      <c r="B8715" s="5" t="s">
        <v>7958</v>
      </c>
      <c r="C8715" s="5" t="s">
        <v>11</v>
      </c>
      <c r="D8715" s="5" t="s">
        <v>12</v>
      </c>
      <c r="E8715" s="5" t="s">
        <v>3962</v>
      </c>
    </row>
    <row r="8716" spans="1:5" x14ac:dyDescent="0.25">
      <c r="A8716" s="5">
        <f>8708</f>
      </c>
      <c r="B8716" s="5" t="s">
        <v>7959</v>
      </c>
      <c r="C8716" s="5" t="s">
        <v>11</v>
      </c>
      <c r="D8716" s="5" t="s">
        <v>12</v>
      </c>
      <c r="E8716" s="5" t="s">
        <v>3962</v>
      </c>
    </row>
    <row r="8717" spans="1:5" x14ac:dyDescent="0.25">
      <c r="A8717" s="5">
        <f>8709</f>
      </c>
      <c r="B8717" s="5" t="s">
        <v>7960</v>
      </c>
      <c r="C8717" s="5" t="s">
        <v>11</v>
      </c>
      <c r="D8717" s="5" t="s">
        <v>12</v>
      </c>
      <c r="E8717" s="5" t="s">
        <v>3962</v>
      </c>
    </row>
    <row r="8718" spans="1:5" x14ac:dyDescent="0.25">
      <c r="A8718" s="5">
        <f>8710</f>
      </c>
      <c r="B8718" s="5" t="s">
        <v>7961</v>
      </c>
      <c r="C8718" s="5" t="s">
        <v>11</v>
      </c>
      <c r="D8718" s="5" t="s">
        <v>12</v>
      </c>
      <c r="E8718" s="5" t="s">
        <v>3962</v>
      </c>
    </row>
    <row r="8719" spans="1:5" x14ac:dyDescent="0.25">
      <c r="A8719" s="5">
        <f>8711</f>
      </c>
      <c r="B8719" s="5" t="s">
        <v>7962</v>
      </c>
      <c r="C8719" s="5" t="s">
        <v>11</v>
      </c>
      <c r="D8719" s="5" t="s">
        <v>12</v>
      </c>
      <c r="E8719" s="5" t="s">
        <v>3962</v>
      </c>
    </row>
    <row r="8720" spans="1:5" x14ac:dyDescent="0.25">
      <c r="A8720" s="5">
        <f>8712</f>
      </c>
      <c r="B8720" s="5" t="s">
        <v>7963</v>
      </c>
      <c r="C8720" s="5" t="s">
        <v>11</v>
      </c>
      <c r="D8720" s="5" t="s">
        <v>12</v>
      </c>
      <c r="E8720" s="5" t="s">
        <v>3962</v>
      </c>
    </row>
    <row r="8721" spans="1:5" x14ac:dyDescent="0.25">
      <c r="A8721" s="5">
        <f>8713</f>
      </c>
      <c r="B8721" s="5" t="s">
        <v>7964</v>
      </c>
      <c r="C8721" s="5" t="s">
        <v>11</v>
      </c>
      <c r="D8721" s="5" t="s">
        <v>12</v>
      </c>
      <c r="E8721" s="5" t="s">
        <v>3962</v>
      </c>
    </row>
    <row r="8722" spans="1:5" x14ac:dyDescent="0.25">
      <c r="A8722" s="5">
        <f>8714</f>
      </c>
      <c r="B8722" s="5" t="s">
        <v>7965</v>
      </c>
      <c r="C8722" s="5" t="s">
        <v>11</v>
      </c>
      <c r="D8722" s="5" t="s">
        <v>12</v>
      </c>
      <c r="E8722" s="5" t="s">
        <v>3962</v>
      </c>
    </row>
    <row r="8723" spans="1:5" x14ac:dyDescent="0.25">
      <c r="A8723" s="5">
        <f>8715</f>
      </c>
      <c r="B8723" s="5" t="s">
        <v>7966</v>
      </c>
      <c r="C8723" s="5" t="s">
        <v>11</v>
      </c>
      <c r="D8723" s="5" t="s">
        <v>12</v>
      </c>
      <c r="E8723" s="5" t="s">
        <v>3962</v>
      </c>
    </row>
    <row r="8724" spans="1:5" x14ac:dyDescent="0.25">
      <c r="A8724" s="5">
        <f>8716</f>
      </c>
      <c r="B8724" s="5" t="s">
        <v>7967</v>
      </c>
      <c r="C8724" s="5" t="s">
        <v>11</v>
      </c>
      <c r="D8724" s="5" t="s">
        <v>12</v>
      </c>
      <c r="E8724" s="5" t="s">
        <v>3962</v>
      </c>
    </row>
    <row r="8725" spans="1:5" x14ac:dyDescent="0.25">
      <c r="A8725" s="5">
        <f>8717</f>
      </c>
      <c r="B8725" s="5" t="s">
        <v>7968</v>
      </c>
      <c r="C8725" s="5" t="s">
        <v>11</v>
      </c>
      <c r="D8725" s="5" t="s">
        <v>12</v>
      </c>
      <c r="E8725" s="5" t="s">
        <v>3962</v>
      </c>
    </row>
    <row r="8726" spans="1:5" x14ac:dyDescent="0.25">
      <c r="A8726" s="5">
        <f>8718</f>
      </c>
      <c r="B8726" s="5" t="s">
        <v>7969</v>
      </c>
      <c r="C8726" s="5" t="s">
        <v>11</v>
      </c>
      <c r="D8726" s="5" t="s">
        <v>12</v>
      </c>
      <c r="E8726" s="5" t="s">
        <v>3962</v>
      </c>
    </row>
    <row r="8727" spans="1:5" x14ac:dyDescent="0.25">
      <c r="A8727" s="5">
        <f>8719</f>
      </c>
      <c r="B8727" s="5" t="s">
        <v>7970</v>
      </c>
      <c r="C8727" s="5" t="s">
        <v>11</v>
      </c>
      <c r="D8727" s="5" t="s">
        <v>12</v>
      </c>
      <c r="E8727" s="5" t="s">
        <v>3962</v>
      </c>
    </row>
    <row r="8728" spans="1:5" x14ac:dyDescent="0.25">
      <c r="A8728" s="5">
        <f>8720</f>
      </c>
      <c r="B8728" s="5" t="s">
        <v>7971</v>
      </c>
      <c r="C8728" s="5" t="s">
        <v>11</v>
      </c>
      <c r="D8728" s="5" t="s">
        <v>12</v>
      </c>
      <c r="E8728" s="5" t="s">
        <v>3962</v>
      </c>
    </row>
    <row r="8729" spans="1:5" x14ac:dyDescent="0.25">
      <c r="A8729" s="5">
        <f>8721</f>
      </c>
      <c r="B8729" s="5" t="s">
        <v>7972</v>
      </c>
      <c r="C8729" s="5" t="s">
        <v>11</v>
      </c>
      <c r="D8729" s="5" t="s">
        <v>12</v>
      </c>
      <c r="E8729" s="5" t="s">
        <v>3962</v>
      </c>
    </row>
    <row r="8730" spans="1:5" x14ac:dyDescent="0.25">
      <c r="A8730" s="5">
        <f>8722</f>
      </c>
      <c r="B8730" s="5" t="s">
        <v>7973</v>
      </c>
      <c r="C8730" s="5" t="s">
        <v>11</v>
      </c>
      <c r="D8730" s="5" t="s">
        <v>12</v>
      </c>
      <c r="E8730" s="5" t="s">
        <v>3962</v>
      </c>
    </row>
    <row r="8731" spans="1:5" x14ac:dyDescent="0.25">
      <c r="A8731" s="5">
        <f>8723</f>
      </c>
      <c r="B8731" s="5" t="s">
        <v>7974</v>
      </c>
      <c r="C8731" s="5" t="s">
        <v>11</v>
      </c>
      <c r="D8731" s="5" t="s">
        <v>12</v>
      </c>
      <c r="E8731" s="5" t="s">
        <v>3962</v>
      </c>
    </row>
    <row r="8732" spans="1:5" x14ac:dyDescent="0.25">
      <c r="A8732" s="5">
        <f>8724</f>
      </c>
      <c r="B8732" s="5" t="s">
        <v>7975</v>
      </c>
      <c r="C8732" s="5" t="s">
        <v>11</v>
      </c>
      <c r="D8732" s="5" t="s">
        <v>12</v>
      </c>
      <c r="E8732" s="5" t="s">
        <v>3962</v>
      </c>
    </row>
    <row r="8733" spans="1:5" x14ac:dyDescent="0.25">
      <c r="A8733" s="5">
        <f>8725</f>
      </c>
      <c r="B8733" s="5" t="s">
        <v>7976</v>
      </c>
      <c r="C8733" s="5" t="s">
        <v>11</v>
      </c>
      <c r="D8733" s="5" t="s">
        <v>12</v>
      </c>
      <c r="E8733" s="5" t="s">
        <v>3962</v>
      </c>
    </row>
    <row r="8734" spans="1:5" x14ac:dyDescent="0.25">
      <c r="A8734" s="5">
        <f>8726</f>
      </c>
      <c r="B8734" s="5" t="s">
        <v>7977</v>
      </c>
      <c r="C8734" s="5" t="s">
        <v>11</v>
      </c>
      <c r="D8734" s="5" t="s">
        <v>12</v>
      </c>
      <c r="E8734" s="5" t="s">
        <v>3962</v>
      </c>
    </row>
    <row r="8735" spans="1:5" x14ac:dyDescent="0.25">
      <c r="A8735" s="5">
        <f>8727</f>
      </c>
      <c r="B8735" s="5" t="s">
        <v>7978</v>
      </c>
      <c r="C8735" s="5" t="s">
        <v>11</v>
      </c>
      <c r="D8735" s="5" t="s">
        <v>12</v>
      </c>
      <c r="E8735" s="5" t="s">
        <v>3962</v>
      </c>
    </row>
    <row r="8736" spans="1:5" x14ac:dyDescent="0.25">
      <c r="A8736" s="5">
        <f>8728</f>
      </c>
      <c r="B8736" s="5" t="s">
        <v>7979</v>
      </c>
      <c r="C8736" s="5" t="s">
        <v>11</v>
      </c>
      <c r="D8736" s="5" t="s">
        <v>12</v>
      </c>
      <c r="E8736" s="5" t="s">
        <v>3962</v>
      </c>
    </row>
    <row r="8737" spans="1:5" x14ac:dyDescent="0.25">
      <c r="A8737" s="5">
        <f>8729</f>
      </c>
      <c r="B8737" s="5" t="s">
        <v>7980</v>
      </c>
      <c r="C8737" s="5" t="s">
        <v>11</v>
      </c>
      <c r="D8737" s="5" t="s">
        <v>12</v>
      </c>
      <c r="E8737" s="5" t="s">
        <v>3962</v>
      </c>
    </row>
    <row r="8738" spans="1:5" x14ac:dyDescent="0.25">
      <c r="A8738" s="5">
        <f>8730</f>
      </c>
      <c r="B8738" s="5" t="s">
        <v>7981</v>
      </c>
      <c r="C8738" s="5" t="s">
        <v>11</v>
      </c>
      <c r="D8738" s="5" t="s">
        <v>12</v>
      </c>
      <c r="E8738" s="5" t="s">
        <v>3962</v>
      </c>
    </row>
    <row r="8739" spans="1:5" x14ac:dyDescent="0.25">
      <c r="A8739" s="5">
        <f>8731</f>
      </c>
      <c r="B8739" s="5" t="s">
        <v>7982</v>
      </c>
      <c r="C8739" s="5" t="s">
        <v>11</v>
      </c>
      <c r="D8739" s="5" t="s">
        <v>12</v>
      </c>
      <c r="E8739" s="5" t="s">
        <v>3962</v>
      </c>
    </row>
    <row r="8740" spans="1:5" x14ac:dyDescent="0.25">
      <c r="A8740" s="5">
        <f>8732</f>
      </c>
      <c r="B8740" s="5" t="s">
        <v>7983</v>
      </c>
      <c r="C8740" s="5" t="s">
        <v>11</v>
      </c>
      <c r="D8740" s="5" t="s">
        <v>12</v>
      </c>
      <c r="E8740" s="5" t="s">
        <v>3962</v>
      </c>
    </row>
    <row r="8741" spans="1:5" x14ac:dyDescent="0.25">
      <c r="A8741" s="5">
        <f>8733</f>
      </c>
      <c r="B8741" s="5" t="s">
        <v>7984</v>
      </c>
      <c r="C8741" s="5" t="s">
        <v>11</v>
      </c>
      <c r="D8741" s="5" t="s">
        <v>12</v>
      </c>
      <c r="E8741" s="5" t="s">
        <v>3962</v>
      </c>
    </row>
    <row r="8742" spans="1:5" x14ac:dyDescent="0.25">
      <c r="A8742" s="5">
        <f>8734</f>
      </c>
      <c r="B8742" s="5" t="s">
        <v>7985</v>
      </c>
      <c r="C8742" s="5" t="s">
        <v>11</v>
      </c>
      <c r="D8742" s="5" t="s">
        <v>12</v>
      </c>
      <c r="E8742" s="5" t="s">
        <v>3962</v>
      </c>
    </row>
    <row r="8743" spans="1:5" x14ac:dyDescent="0.25">
      <c r="A8743" s="5">
        <f>8735</f>
      </c>
      <c r="B8743" s="5" t="s">
        <v>7986</v>
      </c>
      <c r="C8743" s="5" t="s">
        <v>11</v>
      </c>
      <c r="D8743" s="5" t="s">
        <v>12</v>
      </c>
      <c r="E8743" s="5" t="s">
        <v>3962</v>
      </c>
    </row>
    <row r="8744" spans="1:5" x14ac:dyDescent="0.25">
      <c r="A8744" s="5">
        <f>8736</f>
      </c>
      <c r="B8744" s="5" t="s">
        <v>7987</v>
      </c>
      <c r="C8744" s="5" t="s">
        <v>11</v>
      </c>
      <c r="D8744" s="5" t="s">
        <v>12</v>
      </c>
      <c r="E8744" s="5" t="s">
        <v>3962</v>
      </c>
    </row>
    <row r="8745" spans="1:5" x14ac:dyDescent="0.25">
      <c r="A8745" s="5">
        <f>8737</f>
      </c>
      <c r="B8745" s="5" t="s">
        <v>7988</v>
      </c>
      <c r="C8745" s="5" t="s">
        <v>11</v>
      </c>
      <c r="D8745" s="5" t="s">
        <v>12</v>
      </c>
      <c r="E8745" s="5" t="s">
        <v>3962</v>
      </c>
    </row>
    <row r="8746" spans="1:5" x14ac:dyDescent="0.25">
      <c r="A8746" s="5">
        <f>8738</f>
      </c>
      <c r="B8746" s="5" t="s">
        <v>7989</v>
      </c>
      <c r="C8746" s="5" t="s">
        <v>11</v>
      </c>
      <c r="D8746" s="5" t="s">
        <v>12</v>
      </c>
      <c r="E8746" s="5" t="s">
        <v>3962</v>
      </c>
    </row>
    <row r="8747" spans="1:5" x14ac:dyDescent="0.25">
      <c r="A8747" s="5">
        <f>8739</f>
      </c>
      <c r="B8747" s="5" t="s">
        <v>7990</v>
      </c>
      <c r="C8747" s="5" t="s">
        <v>11</v>
      </c>
      <c r="D8747" s="5" t="s">
        <v>12</v>
      </c>
      <c r="E8747" s="5" t="s">
        <v>3962</v>
      </c>
    </row>
    <row r="8748" spans="1:5" x14ac:dyDescent="0.25">
      <c r="A8748" s="5">
        <f>8740</f>
      </c>
      <c r="B8748" s="5" t="s">
        <v>7991</v>
      </c>
      <c r="C8748" s="5" t="s">
        <v>11</v>
      </c>
      <c r="D8748" s="5" t="s">
        <v>12</v>
      </c>
      <c r="E8748" s="5" t="s">
        <v>3962</v>
      </c>
    </row>
    <row r="8749" spans="1:5" x14ac:dyDescent="0.25">
      <c r="A8749" s="5">
        <f>8741</f>
      </c>
      <c r="B8749" s="5" t="s">
        <v>7992</v>
      </c>
      <c r="C8749" s="5" t="s">
        <v>11</v>
      </c>
      <c r="D8749" s="5" t="s">
        <v>12</v>
      </c>
      <c r="E8749" s="5" t="s">
        <v>3962</v>
      </c>
    </row>
    <row r="8750" spans="1:5" x14ac:dyDescent="0.25">
      <c r="A8750" s="5">
        <f>8742</f>
      </c>
      <c r="B8750" s="5" t="s">
        <v>7993</v>
      </c>
      <c r="C8750" s="5" t="s">
        <v>11</v>
      </c>
      <c r="D8750" s="5" t="s">
        <v>12</v>
      </c>
      <c r="E8750" s="5" t="s">
        <v>3962</v>
      </c>
    </row>
    <row r="8751" spans="1:5" x14ac:dyDescent="0.25">
      <c r="A8751" s="5">
        <f>8743</f>
      </c>
      <c r="B8751" s="5" t="s">
        <v>7994</v>
      </c>
      <c r="C8751" s="5" t="s">
        <v>11</v>
      </c>
      <c r="D8751" s="5" t="s">
        <v>12</v>
      </c>
      <c r="E8751" s="5" t="s">
        <v>3962</v>
      </c>
    </row>
    <row r="8752" spans="1:5" x14ac:dyDescent="0.25">
      <c r="A8752" s="5">
        <f>8744</f>
      </c>
      <c r="B8752" s="5" t="s">
        <v>7995</v>
      </c>
      <c r="C8752" s="5" t="s">
        <v>11</v>
      </c>
      <c r="D8752" s="5" t="s">
        <v>12</v>
      </c>
      <c r="E8752" s="5" t="s">
        <v>3962</v>
      </c>
    </row>
    <row r="8753" spans="1:5" x14ac:dyDescent="0.25">
      <c r="A8753" s="5">
        <f>8745</f>
      </c>
      <c r="B8753" s="5" t="s">
        <v>7996</v>
      </c>
      <c r="C8753" s="5" t="s">
        <v>11</v>
      </c>
      <c r="D8753" s="5" t="s">
        <v>12</v>
      </c>
      <c r="E8753" s="5" t="s">
        <v>3962</v>
      </c>
    </row>
    <row r="8754" spans="1:5" x14ac:dyDescent="0.25">
      <c r="A8754" s="5">
        <f>8746</f>
      </c>
      <c r="B8754" s="5" t="s">
        <v>7997</v>
      </c>
      <c r="C8754" s="5" t="s">
        <v>11</v>
      </c>
      <c r="D8754" s="5" t="s">
        <v>12</v>
      </c>
      <c r="E8754" s="5" t="s">
        <v>3962</v>
      </c>
    </row>
    <row r="8755" spans="1:5" x14ac:dyDescent="0.25">
      <c r="A8755" s="5">
        <f>8747</f>
      </c>
      <c r="B8755" s="5" t="s">
        <v>7998</v>
      </c>
      <c r="C8755" s="5" t="s">
        <v>11</v>
      </c>
      <c r="D8755" s="5" t="s">
        <v>12</v>
      </c>
      <c r="E8755" s="5" t="s">
        <v>3962</v>
      </c>
    </row>
    <row r="8756" spans="1:5" x14ac:dyDescent="0.25">
      <c r="A8756" s="5">
        <f>8748</f>
      </c>
      <c r="B8756" s="5" t="s">
        <v>7999</v>
      </c>
      <c r="C8756" s="5" t="s">
        <v>11</v>
      </c>
      <c r="D8756" s="5" t="s">
        <v>12</v>
      </c>
      <c r="E8756" s="5" t="s">
        <v>3962</v>
      </c>
    </row>
    <row r="8757" spans="1:5" x14ac:dyDescent="0.25">
      <c r="A8757" s="5">
        <f>8749</f>
      </c>
      <c r="B8757" s="5" t="s">
        <v>8000</v>
      </c>
      <c r="C8757" s="5" t="s">
        <v>11</v>
      </c>
      <c r="D8757" s="5" t="s">
        <v>12</v>
      </c>
      <c r="E8757" s="5" t="s">
        <v>3962</v>
      </c>
    </row>
    <row r="8758" spans="1:5" x14ac:dyDescent="0.25">
      <c r="A8758" s="5">
        <f>8750</f>
      </c>
      <c r="B8758" s="5" t="s">
        <v>8001</v>
      </c>
      <c r="C8758" s="5" t="s">
        <v>11</v>
      </c>
      <c r="D8758" s="5" t="s">
        <v>12</v>
      </c>
      <c r="E8758" s="5" t="s">
        <v>3962</v>
      </c>
    </row>
    <row r="8759" spans="1:5" x14ac:dyDescent="0.25">
      <c r="A8759" s="5">
        <f>8751</f>
      </c>
      <c r="B8759" s="5" t="s">
        <v>8002</v>
      </c>
      <c r="C8759" s="5" t="s">
        <v>11</v>
      </c>
      <c r="D8759" s="5" t="s">
        <v>12</v>
      </c>
      <c r="E8759" s="5" t="s">
        <v>3962</v>
      </c>
    </row>
    <row r="8760" spans="1:5" x14ac:dyDescent="0.25">
      <c r="A8760" s="5">
        <f>8752</f>
      </c>
      <c r="B8760" s="5" t="s">
        <v>8003</v>
      </c>
      <c r="C8760" s="5" t="s">
        <v>11</v>
      </c>
      <c r="D8760" s="5" t="s">
        <v>12</v>
      </c>
      <c r="E8760" s="5" t="s">
        <v>3962</v>
      </c>
    </row>
    <row r="8761" spans="1:5" x14ac:dyDescent="0.25">
      <c r="A8761" s="5">
        <f>8753</f>
      </c>
      <c r="B8761" s="5" t="s">
        <v>8004</v>
      </c>
      <c r="C8761" s="5" t="s">
        <v>11</v>
      </c>
      <c r="D8761" s="5" t="s">
        <v>12</v>
      </c>
      <c r="E8761" s="5" t="s">
        <v>3962</v>
      </c>
    </row>
    <row r="8762" spans="1:5" x14ac:dyDescent="0.25">
      <c r="A8762" s="5">
        <f>8754</f>
      </c>
      <c r="B8762" s="5" t="s">
        <v>8005</v>
      </c>
      <c r="C8762" s="5" t="s">
        <v>11</v>
      </c>
      <c r="D8762" s="5" t="s">
        <v>12</v>
      </c>
      <c r="E8762" s="5" t="s">
        <v>3962</v>
      </c>
    </row>
    <row r="8763" spans="1:5" x14ac:dyDescent="0.25">
      <c r="A8763" s="5">
        <f>8755</f>
      </c>
      <c r="B8763" s="5" t="s">
        <v>8006</v>
      </c>
      <c r="C8763" s="5" t="s">
        <v>11</v>
      </c>
      <c r="D8763" s="5" t="s">
        <v>12</v>
      </c>
      <c r="E8763" s="5" t="s">
        <v>3962</v>
      </c>
    </row>
    <row r="8764" spans="1:5" x14ac:dyDescent="0.25">
      <c r="A8764" s="5">
        <f>8756</f>
      </c>
      <c r="B8764" s="5" t="s">
        <v>8007</v>
      </c>
      <c r="C8764" s="5" t="s">
        <v>11</v>
      </c>
      <c r="D8764" s="5" t="s">
        <v>12</v>
      </c>
      <c r="E8764" s="5" t="s">
        <v>3962</v>
      </c>
    </row>
    <row r="8765" spans="1:5" x14ac:dyDescent="0.25">
      <c r="A8765" s="5">
        <f>8757</f>
      </c>
      <c r="B8765" s="5" t="s">
        <v>8008</v>
      </c>
      <c r="C8765" s="5" t="s">
        <v>11</v>
      </c>
      <c r="D8765" s="5" t="s">
        <v>12</v>
      </c>
      <c r="E8765" s="5" t="s">
        <v>3962</v>
      </c>
    </row>
    <row r="8766" spans="1:5" x14ac:dyDescent="0.25">
      <c r="A8766" s="5">
        <f>8758</f>
      </c>
      <c r="B8766" s="5" t="s">
        <v>8009</v>
      </c>
      <c r="C8766" s="5" t="s">
        <v>11</v>
      </c>
      <c r="D8766" s="5" t="s">
        <v>12</v>
      </c>
      <c r="E8766" s="5" t="s">
        <v>3962</v>
      </c>
    </row>
    <row r="8767" spans="1:5" x14ac:dyDescent="0.25">
      <c r="A8767" s="5">
        <f>8759</f>
      </c>
      <c r="B8767" s="5" t="s">
        <v>8010</v>
      </c>
      <c r="C8767" s="5" t="s">
        <v>11</v>
      </c>
      <c r="D8767" s="5" t="s">
        <v>12</v>
      </c>
      <c r="E8767" s="5" t="s">
        <v>3962</v>
      </c>
    </row>
    <row r="8768" spans="1:5" x14ac:dyDescent="0.25">
      <c r="A8768" s="5">
        <f>8760</f>
      </c>
      <c r="B8768" s="5" t="s">
        <v>8011</v>
      </c>
      <c r="C8768" s="5" t="s">
        <v>11</v>
      </c>
      <c r="D8768" s="5" t="s">
        <v>12</v>
      </c>
      <c r="E8768" s="5" t="s">
        <v>3962</v>
      </c>
    </row>
    <row r="8769" spans="1:5" x14ac:dyDescent="0.25">
      <c r="A8769" s="5">
        <f>8761</f>
      </c>
      <c r="B8769" s="5" t="s">
        <v>8012</v>
      </c>
      <c r="C8769" s="5" t="s">
        <v>11</v>
      </c>
      <c r="D8769" s="5" t="s">
        <v>12</v>
      </c>
      <c r="E8769" s="5" t="s">
        <v>3962</v>
      </c>
    </row>
    <row r="8770" spans="1:5" x14ac:dyDescent="0.25">
      <c r="A8770" s="5">
        <f>8762</f>
      </c>
      <c r="B8770" s="5" t="s">
        <v>8013</v>
      </c>
      <c r="C8770" s="5" t="s">
        <v>11</v>
      </c>
      <c r="D8770" s="5" t="s">
        <v>12</v>
      </c>
      <c r="E8770" s="5" t="s">
        <v>3962</v>
      </c>
    </row>
    <row r="8771" spans="1:5" x14ac:dyDescent="0.25">
      <c r="A8771" s="5">
        <f>8763</f>
      </c>
      <c r="B8771" s="5" t="s">
        <v>8014</v>
      </c>
      <c r="C8771" s="5" t="s">
        <v>11</v>
      </c>
      <c r="D8771" s="5" t="s">
        <v>12</v>
      </c>
      <c r="E8771" s="5" t="s">
        <v>3962</v>
      </c>
    </row>
    <row r="8772" spans="1:5" x14ac:dyDescent="0.25">
      <c r="A8772" s="5">
        <f>8764</f>
      </c>
      <c r="B8772" s="5" t="s">
        <v>8015</v>
      </c>
      <c r="C8772" s="5" t="s">
        <v>11</v>
      </c>
      <c r="D8772" s="5" t="s">
        <v>12</v>
      </c>
      <c r="E8772" s="5" t="s">
        <v>3962</v>
      </c>
    </row>
    <row r="8773" spans="1:5" x14ac:dyDescent="0.25">
      <c r="A8773" s="5">
        <f>8765</f>
      </c>
      <c r="B8773" s="5" t="s">
        <v>8016</v>
      </c>
      <c r="C8773" s="5" t="s">
        <v>11</v>
      </c>
      <c r="D8773" s="5" t="s">
        <v>12</v>
      </c>
      <c r="E8773" s="5" t="s">
        <v>3962</v>
      </c>
    </row>
    <row r="8774" spans="1:5" x14ac:dyDescent="0.25">
      <c r="A8774" s="5">
        <f>8766</f>
      </c>
      <c r="B8774" s="5" t="s">
        <v>8017</v>
      </c>
      <c r="C8774" s="5" t="s">
        <v>11</v>
      </c>
      <c r="D8774" s="5" t="s">
        <v>12</v>
      </c>
      <c r="E8774" s="5" t="s">
        <v>3962</v>
      </c>
    </row>
    <row r="8775" spans="1:5" x14ac:dyDescent="0.25">
      <c r="A8775" s="5">
        <f>8767</f>
      </c>
      <c r="B8775" s="5" t="s">
        <v>8018</v>
      </c>
      <c r="C8775" s="5" t="s">
        <v>11</v>
      </c>
      <c r="D8775" s="5" t="s">
        <v>12</v>
      </c>
      <c r="E8775" s="5" t="s">
        <v>3962</v>
      </c>
    </row>
    <row r="8776" spans="1:5" x14ac:dyDescent="0.25">
      <c r="A8776" s="5">
        <f>8768</f>
      </c>
      <c r="B8776" s="5" t="s">
        <v>8019</v>
      </c>
      <c r="C8776" s="5" t="s">
        <v>11</v>
      </c>
      <c r="D8776" s="5" t="s">
        <v>12</v>
      </c>
      <c r="E8776" s="5" t="s">
        <v>3962</v>
      </c>
    </row>
    <row r="8777" spans="1:5" x14ac:dyDescent="0.25">
      <c r="A8777" s="5">
        <f>8769</f>
      </c>
      <c r="B8777" s="5" t="s">
        <v>8020</v>
      </c>
      <c r="C8777" s="5" t="s">
        <v>11</v>
      </c>
      <c r="D8777" s="5" t="s">
        <v>12</v>
      </c>
      <c r="E8777" s="5" t="s">
        <v>3962</v>
      </c>
    </row>
    <row r="8778" spans="1:5" x14ac:dyDescent="0.25">
      <c r="A8778" s="5">
        <f>8770</f>
      </c>
      <c r="B8778" s="5" t="s">
        <v>8021</v>
      </c>
      <c r="C8778" s="5" t="s">
        <v>11</v>
      </c>
      <c r="D8778" s="5" t="s">
        <v>12</v>
      </c>
      <c r="E8778" s="5" t="s">
        <v>3962</v>
      </c>
    </row>
    <row r="8779" spans="1:5" x14ac:dyDescent="0.25">
      <c r="A8779" s="5">
        <f>8771</f>
      </c>
      <c r="B8779" s="5" t="s">
        <v>8022</v>
      </c>
      <c r="C8779" s="5" t="s">
        <v>11</v>
      </c>
      <c r="D8779" s="5" t="s">
        <v>12</v>
      </c>
      <c r="E8779" s="5" t="s">
        <v>3962</v>
      </c>
    </row>
    <row r="8780" spans="1:5" x14ac:dyDescent="0.25">
      <c r="A8780" s="5">
        <f>8772</f>
      </c>
      <c r="B8780" s="5" t="s">
        <v>8023</v>
      </c>
      <c r="C8780" s="5" t="s">
        <v>11</v>
      </c>
      <c r="D8780" s="5" t="s">
        <v>12</v>
      </c>
      <c r="E8780" s="5" t="s">
        <v>3962</v>
      </c>
    </row>
    <row r="8781" spans="1:5" x14ac:dyDescent="0.25">
      <c r="A8781" s="5">
        <f>8773</f>
      </c>
      <c r="B8781" s="5" t="s">
        <v>8024</v>
      </c>
      <c r="C8781" s="5" t="s">
        <v>11</v>
      </c>
      <c r="D8781" s="5" t="s">
        <v>12</v>
      </c>
      <c r="E8781" s="5" t="s">
        <v>3962</v>
      </c>
    </row>
    <row r="8782" spans="1:5" x14ac:dyDescent="0.25">
      <c r="A8782" s="5">
        <f>8774</f>
      </c>
      <c r="B8782" s="5" t="s">
        <v>8025</v>
      </c>
      <c r="C8782" s="5" t="s">
        <v>11</v>
      </c>
      <c r="D8782" s="5" t="s">
        <v>12</v>
      </c>
      <c r="E8782" s="5" t="s">
        <v>3962</v>
      </c>
    </row>
    <row r="8783" spans="1:5" x14ac:dyDescent="0.25">
      <c r="A8783" s="5">
        <f>8775</f>
      </c>
      <c r="B8783" s="5" t="s">
        <v>8026</v>
      </c>
      <c r="C8783" s="5" t="s">
        <v>11</v>
      </c>
      <c r="D8783" s="5" t="s">
        <v>12</v>
      </c>
      <c r="E8783" s="5" t="s">
        <v>3962</v>
      </c>
    </row>
    <row r="8784" spans="1:5" x14ac:dyDescent="0.25">
      <c r="A8784" s="5">
        <f>8776</f>
      </c>
      <c r="B8784" s="5" t="s">
        <v>8027</v>
      </c>
      <c r="C8784" s="5" t="s">
        <v>11</v>
      </c>
      <c r="D8784" s="5" t="s">
        <v>12</v>
      </c>
      <c r="E8784" s="5" t="s">
        <v>3962</v>
      </c>
    </row>
    <row r="8785" spans="1:5" x14ac:dyDescent="0.25">
      <c r="A8785" s="5">
        <f>8777</f>
      </c>
      <c r="B8785" s="5" t="s">
        <v>8028</v>
      </c>
      <c r="C8785" s="5" t="s">
        <v>11</v>
      </c>
      <c r="D8785" s="5" t="s">
        <v>12</v>
      </c>
      <c r="E8785" s="5" t="s">
        <v>3962</v>
      </c>
    </row>
    <row r="8786" spans="1:5" x14ac:dyDescent="0.25">
      <c r="A8786" s="5">
        <f>8778</f>
      </c>
      <c r="B8786" s="5" t="s">
        <v>8029</v>
      </c>
      <c r="C8786" s="5" t="s">
        <v>11</v>
      </c>
      <c r="D8786" s="5" t="s">
        <v>12</v>
      </c>
      <c r="E8786" s="5" t="s">
        <v>3962</v>
      </c>
    </row>
    <row r="8787" spans="1:5" x14ac:dyDescent="0.25">
      <c r="A8787" s="5">
        <f>8779</f>
      </c>
      <c r="B8787" s="5" t="s">
        <v>8030</v>
      </c>
      <c r="C8787" s="5" t="s">
        <v>11</v>
      </c>
      <c r="D8787" s="5" t="s">
        <v>12</v>
      </c>
      <c r="E8787" s="5" t="s">
        <v>3962</v>
      </c>
    </row>
    <row r="8788" spans="1:5" x14ac:dyDescent="0.25">
      <c r="A8788" s="5">
        <f>8780</f>
      </c>
      <c r="B8788" s="5" t="s">
        <v>8031</v>
      </c>
      <c r="C8788" s="5" t="s">
        <v>11</v>
      </c>
      <c r="D8788" s="5" t="s">
        <v>12</v>
      </c>
      <c r="E8788" s="5" t="s">
        <v>3962</v>
      </c>
    </row>
    <row r="8789" spans="1:5" x14ac:dyDescent="0.25">
      <c r="A8789" s="5">
        <f>8781</f>
      </c>
      <c r="B8789" s="5" t="s">
        <v>8032</v>
      </c>
      <c r="C8789" s="5" t="s">
        <v>11</v>
      </c>
      <c r="D8789" s="5" t="s">
        <v>12</v>
      </c>
      <c r="E8789" s="5" t="s">
        <v>3962</v>
      </c>
    </row>
    <row r="8790" spans="1:5" x14ac:dyDescent="0.25">
      <c r="A8790" s="5">
        <f>8782</f>
      </c>
      <c r="B8790" s="5" t="s">
        <v>8033</v>
      </c>
      <c r="C8790" s="5" t="s">
        <v>11</v>
      </c>
      <c r="D8790" s="5" t="s">
        <v>12</v>
      </c>
      <c r="E8790" s="5" t="s">
        <v>3962</v>
      </c>
    </row>
    <row r="8791" spans="1:5" x14ac:dyDescent="0.25">
      <c r="A8791" s="5">
        <f>8783</f>
      </c>
      <c r="B8791" s="5" t="s">
        <v>8034</v>
      </c>
      <c r="C8791" s="5" t="s">
        <v>11</v>
      </c>
      <c r="D8791" s="5" t="s">
        <v>12</v>
      </c>
      <c r="E8791" s="5" t="s">
        <v>3962</v>
      </c>
    </row>
    <row r="8792" spans="1:5" x14ac:dyDescent="0.25">
      <c r="A8792" s="5">
        <f>8784</f>
      </c>
      <c r="B8792" s="5" t="s">
        <v>8035</v>
      </c>
      <c r="C8792" s="5" t="s">
        <v>11</v>
      </c>
      <c r="D8792" s="5" t="s">
        <v>12</v>
      </c>
      <c r="E8792" s="5" t="s">
        <v>3962</v>
      </c>
    </row>
    <row r="8793" spans="1:5" x14ac:dyDescent="0.25">
      <c r="A8793" s="5">
        <f>8785</f>
      </c>
      <c r="B8793" s="5" t="s">
        <v>8036</v>
      </c>
      <c r="C8793" s="5" t="s">
        <v>11</v>
      </c>
      <c r="D8793" s="5" t="s">
        <v>12</v>
      </c>
      <c r="E8793" s="5" t="s">
        <v>3962</v>
      </c>
    </row>
    <row r="8794" spans="1:5" x14ac:dyDescent="0.25">
      <c r="A8794" s="5">
        <f>8786</f>
      </c>
      <c r="B8794" s="5" t="s">
        <v>8037</v>
      </c>
      <c r="C8794" s="5" t="s">
        <v>11</v>
      </c>
      <c r="D8794" s="5" t="s">
        <v>12</v>
      </c>
      <c r="E8794" s="5" t="s">
        <v>3962</v>
      </c>
    </row>
    <row r="8795" spans="1:5" x14ac:dyDescent="0.25">
      <c r="A8795" s="5">
        <f>8787</f>
      </c>
      <c r="B8795" s="5" t="s">
        <v>8038</v>
      </c>
      <c r="C8795" s="5" t="s">
        <v>11</v>
      </c>
      <c r="D8795" s="5" t="s">
        <v>12</v>
      </c>
      <c r="E8795" s="5" t="s">
        <v>3962</v>
      </c>
    </row>
    <row r="8796" spans="1:5" x14ac:dyDescent="0.25">
      <c r="A8796" s="5">
        <f>8788</f>
      </c>
      <c r="B8796" s="5" t="s">
        <v>8039</v>
      </c>
      <c r="C8796" s="5" t="s">
        <v>11</v>
      </c>
      <c r="D8796" s="5" t="s">
        <v>12</v>
      </c>
      <c r="E8796" s="5" t="s">
        <v>3962</v>
      </c>
    </row>
    <row r="8797" spans="1:5" x14ac:dyDescent="0.25">
      <c r="A8797" s="5">
        <f>8789</f>
      </c>
      <c r="B8797" s="5" t="s">
        <v>8040</v>
      </c>
      <c r="C8797" s="5" t="s">
        <v>11</v>
      </c>
      <c r="D8797" s="5" t="s">
        <v>12</v>
      </c>
      <c r="E8797" s="5" t="s">
        <v>3962</v>
      </c>
    </row>
    <row r="8798" spans="1:5" x14ac:dyDescent="0.25">
      <c r="A8798" s="5">
        <f>8790</f>
      </c>
      <c r="B8798" s="5" t="s">
        <v>8041</v>
      </c>
      <c r="C8798" s="5" t="s">
        <v>11</v>
      </c>
      <c r="D8798" s="5" t="s">
        <v>12</v>
      </c>
      <c r="E8798" s="5" t="s">
        <v>3962</v>
      </c>
    </row>
    <row r="8799" spans="1:5" x14ac:dyDescent="0.25">
      <c r="A8799" s="5">
        <f>8791</f>
      </c>
      <c r="B8799" s="5" t="s">
        <v>8042</v>
      </c>
      <c r="C8799" s="5" t="s">
        <v>11</v>
      </c>
      <c r="D8799" s="5" t="s">
        <v>12</v>
      </c>
      <c r="E8799" s="5" t="s">
        <v>3962</v>
      </c>
    </row>
    <row r="8800" spans="1:5" x14ac:dyDescent="0.25">
      <c r="A8800" s="5">
        <f>8792</f>
      </c>
      <c r="B8800" s="5" t="s">
        <v>8043</v>
      </c>
      <c r="C8800" s="5" t="s">
        <v>11</v>
      </c>
      <c r="D8800" s="5" t="s">
        <v>12</v>
      </c>
      <c r="E8800" s="5" t="s">
        <v>3962</v>
      </c>
    </row>
    <row r="8801" spans="1:5" x14ac:dyDescent="0.25">
      <c r="A8801" s="5">
        <f>8793</f>
      </c>
      <c r="B8801" s="5" t="s">
        <v>8044</v>
      </c>
      <c r="C8801" s="5" t="s">
        <v>11</v>
      </c>
      <c r="D8801" s="5" t="s">
        <v>12</v>
      </c>
      <c r="E8801" s="5" t="s">
        <v>3962</v>
      </c>
    </row>
    <row r="8802" spans="1:5" x14ac:dyDescent="0.25">
      <c r="A8802" s="5">
        <f>8794</f>
      </c>
      <c r="B8802" s="5" t="s">
        <v>8045</v>
      </c>
      <c r="C8802" s="5" t="s">
        <v>11</v>
      </c>
      <c r="D8802" s="5" t="s">
        <v>12</v>
      </c>
      <c r="E8802" s="5" t="s">
        <v>3962</v>
      </c>
    </row>
    <row r="8803" spans="1:5" x14ac:dyDescent="0.25">
      <c r="A8803" s="5">
        <f>8795</f>
      </c>
      <c r="B8803" s="5" t="s">
        <v>8046</v>
      </c>
      <c r="C8803" s="5" t="s">
        <v>11</v>
      </c>
      <c r="D8803" s="5" t="s">
        <v>12</v>
      </c>
      <c r="E8803" s="5" t="s">
        <v>3962</v>
      </c>
    </row>
    <row r="8804" spans="1:5" x14ac:dyDescent="0.25">
      <c r="A8804" s="5">
        <f>8796</f>
      </c>
      <c r="B8804" s="5" t="s">
        <v>8047</v>
      </c>
      <c r="C8804" s="5" t="s">
        <v>11</v>
      </c>
      <c r="D8804" s="5" t="s">
        <v>12</v>
      </c>
      <c r="E8804" s="5" t="s">
        <v>3962</v>
      </c>
    </row>
    <row r="8805" spans="1:5" x14ac:dyDescent="0.25">
      <c r="A8805" s="5">
        <f>8797</f>
      </c>
      <c r="B8805" s="5" t="s">
        <v>8048</v>
      </c>
      <c r="C8805" s="5" t="s">
        <v>11</v>
      </c>
      <c r="D8805" s="5" t="s">
        <v>12</v>
      </c>
      <c r="E8805" s="5" t="s">
        <v>3962</v>
      </c>
    </row>
    <row r="8806" spans="1:5" x14ac:dyDescent="0.25">
      <c r="A8806" s="5">
        <f>8798</f>
      </c>
      <c r="B8806" s="5" t="s">
        <v>8049</v>
      </c>
      <c r="C8806" s="5" t="s">
        <v>11</v>
      </c>
      <c r="D8806" s="5" t="s">
        <v>12</v>
      </c>
      <c r="E8806" s="5" t="s">
        <v>3962</v>
      </c>
    </row>
    <row r="8807" spans="1:5" x14ac:dyDescent="0.25">
      <c r="A8807" s="5">
        <f>8799</f>
      </c>
      <c r="B8807" s="5" t="s">
        <v>8050</v>
      </c>
      <c r="C8807" s="5" t="s">
        <v>11</v>
      </c>
      <c r="D8807" s="5" t="s">
        <v>12</v>
      </c>
      <c r="E8807" s="5" t="s">
        <v>3962</v>
      </c>
    </row>
    <row r="8808" spans="1:5" x14ac:dyDescent="0.25">
      <c r="A8808" s="5">
        <f>8800</f>
      </c>
      <c r="B8808" s="5" t="s">
        <v>8051</v>
      </c>
      <c r="C8808" s="5" t="s">
        <v>11</v>
      </c>
      <c r="D8808" s="5" t="s">
        <v>12</v>
      </c>
      <c r="E8808" s="5" t="s">
        <v>3962</v>
      </c>
    </row>
    <row r="8809" spans="1:5" x14ac:dyDescent="0.25">
      <c r="A8809" s="5">
        <f>8801</f>
      </c>
      <c r="B8809" s="5" t="s">
        <v>8052</v>
      </c>
      <c r="C8809" s="5" t="s">
        <v>11</v>
      </c>
      <c r="D8809" s="5" t="s">
        <v>12</v>
      </c>
      <c r="E8809" s="5" t="s">
        <v>3962</v>
      </c>
    </row>
    <row r="8810" spans="1:5" x14ac:dyDescent="0.25">
      <c r="A8810" s="5">
        <f>8802</f>
      </c>
      <c r="B8810" s="5" t="s">
        <v>8053</v>
      </c>
      <c r="C8810" s="5" t="s">
        <v>11</v>
      </c>
      <c r="D8810" s="5" t="s">
        <v>12</v>
      </c>
      <c r="E8810" s="5" t="s">
        <v>3962</v>
      </c>
    </row>
    <row r="8811" spans="1:5" x14ac:dyDescent="0.25">
      <c r="A8811" s="5">
        <f>8803</f>
      </c>
      <c r="B8811" s="5" t="s">
        <v>8054</v>
      </c>
      <c r="C8811" s="5" t="s">
        <v>11</v>
      </c>
      <c r="D8811" s="5" t="s">
        <v>12</v>
      </c>
      <c r="E8811" s="5" t="s">
        <v>3962</v>
      </c>
    </row>
    <row r="8812" spans="1:5" x14ac:dyDescent="0.25">
      <c r="A8812" s="5">
        <f>8804</f>
      </c>
      <c r="B8812" s="5" t="s">
        <v>8055</v>
      </c>
      <c r="C8812" s="5" t="s">
        <v>11</v>
      </c>
      <c r="D8812" s="5" t="s">
        <v>12</v>
      </c>
      <c r="E8812" s="5" t="s">
        <v>3962</v>
      </c>
    </row>
    <row r="8813" spans="1:5" x14ac:dyDescent="0.25">
      <c r="A8813" s="5">
        <f>8805</f>
      </c>
      <c r="B8813" s="5" t="s">
        <v>8056</v>
      </c>
      <c r="C8813" s="5" t="s">
        <v>11</v>
      </c>
      <c r="D8813" s="5" t="s">
        <v>12</v>
      </c>
      <c r="E8813" s="5" t="s">
        <v>3962</v>
      </c>
    </row>
    <row r="8814" spans="1:5" x14ac:dyDescent="0.25">
      <c r="A8814" s="5">
        <f>8806</f>
      </c>
      <c r="B8814" s="5" t="s">
        <v>8057</v>
      </c>
      <c r="C8814" s="5" t="s">
        <v>11</v>
      </c>
      <c r="D8814" s="5" t="s">
        <v>12</v>
      </c>
      <c r="E8814" s="5" t="s">
        <v>3962</v>
      </c>
    </row>
    <row r="8815" spans="1:5" x14ac:dyDescent="0.25">
      <c r="A8815" s="5">
        <f>8807</f>
      </c>
      <c r="B8815" s="5" t="s">
        <v>8058</v>
      </c>
      <c r="C8815" s="5" t="s">
        <v>11</v>
      </c>
      <c r="D8815" s="5" t="s">
        <v>12</v>
      </c>
      <c r="E8815" s="5" t="s">
        <v>3962</v>
      </c>
    </row>
    <row r="8816" spans="1:5" x14ac:dyDescent="0.25">
      <c r="A8816" s="5">
        <f>8808</f>
      </c>
      <c r="B8816" s="5" t="s">
        <v>8059</v>
      </c>
      <c r="C8816" s="5" t="s">
        <v>11</v>
      </c>
      <c r="D8816" s="5" t="s">
        <v>12</v>
      </c>
      <c r="E8816" s="5" t="s">
        <v>3962</v>
      </c>
    </row>
    <row r="8817" spans="1:5" x14ac:dyDescent="0.25">
      <c r="A8817" s="5">
        <f>8809</f>
      </c>
      <c r="B8817" s="5" t="s">
        <v>8060</v>
      </c>
      <c r="C8817" s="5" t="s">
        <v>11</v>
      </c>
      <c r="D8817" s="5" t="s">
        <v>12</v>
      </c>
      <c r="E8817" s="5" t="s">
        <v>3962</v>
      </c>
    </row>
    <row r="8818" spans="1:5" x14ac:dyDescent="0.25">
      <c r="A8818" s="5">
        <f>8810</f>
      </c>
      <c r="B8818" s="5" t="s">
        <v>8061</v>
      </c>
      <c r="C8818" s="5" t="s">
        <v>11</v>
      </c>
      <c r="D8818" s="5" t="s">
        <v>12</v>
      </c>
      <c r="E8818" s="5" t="s">
        <v>3962</v>
      </c>
    </row>
    <row r="8819" spans="1:5" x14ac:dyDescent="0.25">
      <c r="A8819" s="5">
        <f>8811</f>
      </c>
      <c r="B8819" s="5" t="s">
        <v>8062</v>
      </c>
      <c r="C8819" s="5" t="s">
        <v>11</v>
      </c>
      <c r="D8819" s="5" t="s">
        <v>12</v>
      </c>
      <c r="E8819" s="5" t="s">
        <v>3962</v>
      </c>
    </row>
    <row r="8820" spans="1:5" x14ac:dyDescent="0.25">
      <c r="A8820" s="5">
        <f>8812</f>
      </c>
      <c r="B8820" s="5" t="s">
        <v>8063</v>
      </c>
      <c r="C8820" s="5" t="s">
        <v>11</v>
      </c>
      <c r="D8820" s="5" t="s">
        <v>12</v>
      </c>
      <c r="E8820" s="5" t="s">
        <v>3962</v>
      </c>
    </row>
    <row r="8821" spans="1:5" x14ac:dyDescent="0.25">
      <c r="A8821" s="5">
        <f>8813</f>
      </c>
      <c r="B8821" s="5" t="s">
        <v>8064</v>
      </c>
      <c r="C8821" s="5" t="s">
        <v>11</v>
      </c>
      <c r="D8821" s="5" t="s">
        <v>12</v>
      </c>
      <c r="E8821" s="5" t="s">
        <v>3962</v>
      </c>
    </row>
    <row r="8822" spans="1:5" x14ac:dyDescent="0.25">
      <c r="A8822" s="5">
        <f>8814</f>
      </c>
      <c r="B8822" s="5" t="s">
        <v>8065</v>
      </c>
      <c r="C8822" s="5" t="s">
        <v>11</v>
      </c>
      <c r="D8822" s="5" t="s">
        <v>12</v>
      </c>
      <c r="E8822" s="5" t="s">
        <v>3962</v>
      </c>
    </row>
    <row r="8823" spans="1:5" x14ac:dyDescent="0.25">
      <c r="A8823" s="5">
        <f>8815</f>
      </c>
      <c r="B8823" s="5" t="s">
        <v>8066</v>
      </c>
      <c r="C8823" s="5" t="s">
        <v>11</v>
      </c>
      <c r="D8823" s="5" t="s">
        <v>12</v>
      </c>
      <c r="E8823" s="5" t="s">
        <v>3962</v>
      </c>
    </row>
    <row r="8824" spans="1:5" x14ac:dyDescent="0.25">
      <c r="A8824" s="5">
        <f>8816</f>
      </c>
      <c r="B8824" s="5" t="s">
        <v>8067</v>
      </c>
      <c r="C8824" s="5" t="s">
        <v>11</v>
      </c>
      <c r="D8824" s="5" t="s">
        <v>12</v>
      </c>
      <c r="E8824" s="5" t="s">
        <v>3962</v>
      </c>
    </row>
    <row r="8825" spans="1:5" x14ac:dyDescent="0.25">
      <c r="A8825" s="5">
        <f>8817</f>
      </c>
      <c r="B8825" s="5" t="s">
        <v>8068</v>
      </c>
      <c r="C8825" s="5" t="s">
        <v>11</v>
      </c>
      <c r="D8825" s="5" t="s">
        <v>12</v>
      </c>
      <c r="E8825" s="5" t="s">
        <v>3962</v>
      </c>
    </row>
    <row r="8826" spans="1:5" x14ac:dyDescent="0.25">
      <c r="A8826" s="5">
        <f>8818</f>
      </c>
      <c r="B8826" s="5" t="s">
        <v>8069</v>
      </c>
      <c r="C8826" s="5" t="s">
        <v>11</v>
      </c>
      <c r="D8826" s="5" t="s">
        <v>12</v>
      </c>
      <c r="E8826" s="5" t="s">
        <v>3962</v>
      </c>
    </row>
    <row r="8827" spans="1:5" x14ac:dyDescent="0.25">
      <c r="A8827" s="5">
        <f>8819</f>
      </c>
      <c r="B8827" s="5" t="s">
        <v>8070</v>
      </c>
      <c r="C8827" s="5" t="s">
        <v>11</v>
      </c>
      <c r="D8827" s="5" t="s">
        <v>12</v>
      </c>
      <c r="E8827" s="5" t="s">
        <v>3962</v>
      </c>
    </row>
    <row r="8828" spans="1:5" x14ac:dyDescent="0.25">
      <c r="A8828" s="5">
        <f>8820</f>
      </c>
      <c r="B8828" s="5" t="s">
        <v>8071</v>
      </c>
      <c r="C8828" s="5" t="s">
        <v>11</v>
      </c>
      <c r="D8828" s="5" t="s">
        <v>12</v>
      </c>
      <c r="E8828" s="5" t="s">
        <v>3962</v>
      </c>
    </row>
    <row r="8829" spans="1:5" x14ac:dyDescent="0.25">
      <c r="A8829" s="5">
        <f>8821</f>
      </c>
      <c r="B8829" s="5" t="s">
        <v>8072</v>
      </c>
      <c r="C8829" s="5" t="s">
        <v>11</v>
      </c>
      <c r="D8829" s="5" t="s">
        <v>12</v>
      </c>
      <c r="E8829" s="5" t="s">
        <v>3962</v>
      </c>
    </row>
    <row r="8830" spans="1:5" x14ac:dyDescent="0.25">
      <c r="A8830" s="5">
        <f>8822</f>
      </c>
      <c r="B8830" s="5" t="s">
        <v>8073</v>
      </c>
      <c r="C8830" s="5" t="s">
        <v>11</v>
      </c>
      <c r="D8830" s="5" t="s">
        <v>12</v>
      </c>
      <c r="E8830" s="5" t="s">
        <v>3962</v>
      </c>
    </row>
    <row r="8831" spans="1:5" x14ac:dyDescent="0.25">
      <c r="A8831" s="5">
        <f>8823</f>
      </c>
      <c r="B8831" s="5" t="s">
        <v>8074</v>
      </c>
      <c r="C8831" s="5" t="s">
        <v>11</v>
      </c>
      <c r="D8831" s="5" t="s">
        <v>12</v>
      </c>
      <c r="E8831" s="5" t="s">
        <v>3962</v>
      </c>
    </row>
    <row r="8832" spans="1:5" x14ac:dyDescent="0.25">
      <c r="A8832" s="5">
        <f>8824</f>
      </c>
      <c r="B8832" s="5" t="s">
        <v>8075</v>
      </c>
      <c r="C8832" s="5" t="s">
        <v>11</v>
      </c>
      <c r="D8832" s="5" t="s">
        <v>12</v>
      </c>
      <c r="E8832" s="5" t="s">
        <v>3962</v>
      </c>
    </row>
    <row r="8833" spans="1:5" x14ac:dyDescent="0.25">
      <c r="A8833" s="5">
        <f>8825</f>
      </c>
      <c r="B8833" s="5" t="s">
        <v>8076</v>
      </c>
      <c r="C8833" s="5" t="s">
        <v>11</v>
      </c>
      <c r="D8833" s="5" t="s">
        <v>12</v>
      </c>
      <c r="E8833" s="5" t="s">
        <v>3962</v>
      </c>
    </row>
    <row r="8834" spans="1:5" x14ac:dyDescent="0.25">
      <c r="A8834" s="5">
        <f>8826</f>
      </c>
      <c r="B8834" s="5" t="s">
        <v>8077</v>
      </c>
      <c r="C8834" s="5" t="s">
        <v>11</v>
      </c>
      <c r="D8834" s="5" t="s">
        <v>12</v>
      </c>
      <c r="E8834" s="5" t="s">
        <v>3962</v>
      </c>
    </row>
    <row r="8835" spans="1:5" x14ac:dyDescent="0.25">
      <c r="A8835" s="5">
        <f>8827</f>
      </c>
      <c r="B8835" s="5" t="s">
        <v>8078</v>
      </c>
      <c r="C8835" s="5" t="s">
        <v>11</v>
      </c>
      <c r="D8835" s="5" t="s">
        <v>12</v>
      </c>
      <c r="E8835" s="5" t="s">
        <v>3962</v>
      </c>
    </row>
    <row r="8836" spans="1:5" x14ac:dyDescent="0.25">
      <c r="A8836" s="5">
        <f>8828</f>
      </c>
      <c r="B8836" s="5" t="s">
        <v>8079</v>
      </c>
      <c r="C8836" s="5" t="s">
        <v>11</v>
      </c>
      <c r="D8836" s="5" t="s">
        <v>12</v>
      </c>
      <c r="E8836" s="5" t="s">
        <v>3962</v>
      </c>
    </row>
    <row r="8837" spans="1:5" x14ac:dyDescent="0.25">
      <c r="A8837" s="5">
        <f>8829</f>
      </c>
      <c r="B8837" s="5" t="s">
        <v>8080</v>
      </c>
      <c r="C8837" s="5" t="s">
        <v>11</v>
      </c>
      <c r="D8837" s="5" t="s">
        <v>12</v>
      </c>
      <c r="E8837" s="5" t="s">
        <v>3962</v>
      </c>
    </row>
    <row r="8838" spans="1:5" x14ac:dyDescent="0.25">
      <c r="A8838" s="5">
        <f>8830</f>
      </c>
      <c r="B8838" s="5" t="s">
        <v>8081</v>
      </c>
      <c r="C8838" s="5" t="s">
        <v>11</v>
      </c>
      <c r="D8838" s="5" t="s">
        <v>12</v>
      </c>
      <c r="E8838" s="5" t="s">
        <v>3962</v>
      </c>
    </row>
    <row r="8839" spans="1:5" x14ac:dyDescent="0.25">
      <c r="A8839" s="5">
        <f>8831</f>
      </c>
      <c r="B8839" s="5" t="s">
        <v>8082</v>
      </c>
      <c r="C8839" s="5" t="s">
        <v>11</v>
      </c>
      <c r="D8839" s="5" t="s">
        <v>12</v>
      </c>
      <c r="E8839" s="5" t="s">
        <v>3962</v>
      </c>
    </row>
    <row r="8840" spans="1:5" x14ac:dyDescent="0.25">
      <c r="A8840" s="5">
        <f>8832</f>
      </c>
      <c r="B8840" s="5" t="s">
        <v>8083</v>
      </c>
      <c r="C8840" s="5" t="s">
        <v>11</v>
      </c>
      <c r="D8840" s="5" t="s">
        <v>12</v>
      </c>
      <c r="E8840" s="5" t="s">
        <v>3962</v>
      </c>
    </row>
    <row r="8841" spans="1:5" x14ac:dyDescent="0.25">
      <c r="A8841" s="5">
        <f>8833</f>
      </c>
      <c r="B8841" s="5" t="s">
        <v>8084</v>
      </c>
      <c r="C8841" s="5" t="s">
        <v>11</v>
      </c>
      <c r="D8841" s="5" t="s">
        <v>12</v>
      </c>
      <c r="E8841" s="5" t="s">
        <v>3962</v>
      </c>
    </row>
    <row r="8842" spans="1:5" x14ac:dyDescent="0.25">
      <c r="A8842" s="5">
        <f>8834</f>
      </c>
      <c r="B8842" s="5" t="s">
        <v>8085</v>
      </c>
      <c r="C8842" s="5" t="s">
        <v>11</v>
      </c>
      <c r="D8842" s="5" t="s">
        <v>12</v>
      </c>
      <c r="E8842" s="5" t="s">
        <v>3962</v>
      </c>
    </row>
    <row r="8843" spans="1:5" x14ac:dyDescent="0.25">
      <c r="A8843" s="5">
        <f>8835</f>
      </c>
      <c r="B8843" s="5" t="s">
        <v>8086</v>
      </c>
      <c r="C8843" s="5" t="s">
        <v>11</v>
      </c>
      <c r="D8843" s="5" t="s">
        <v>12</v>
      </c>
      <c r="E8843" s="5" t="s">
        <v>3962</v>
      </c>
    </row>
    <row r="8844" spans="1:5" x14ac:dyDescent="0.25">
      <c r="A8844" s="5">
        <f>8836</f>
      </c>
      <c r="B8844" s="5" t="s">
        <v>8087</v>
      </c>
      <c r="C8844" s="5" t="s">
        <v>11</v>
      </c>
      <c r="D8844" s="5" t="s">
        <v>12</v>
      </c>
      <c r="E8844" s="5" t="s">
        <v>3962</v>
      </c>
    </row>
    <row r="8845" spans="1:5" x14ac:dyDescent="0.25">
      <c r="A8845" s="5">
        <f>8837</f>
      </c>
      <c r="B8845" s="5" t="s">
        <v>8088</v>
      </c>
      <c r="C8845" s="5" t="s">
        <v>11</v>
      </c>
      <c r="D8845" s="5" t="s">
        <v>12</v>
      </c>
      <c r="E8845" s="5" t="s">
        <v>3962</v>
      </c>
    </row>
    <row r="8846" spans="1:5" x14ac:dyDescent="0.25">
      <c r="A8846" s="5">
        <f>8838</f>
      </c>
      <c r="B8846" s="5" t="s">
        <v>8089</v>
      </c>
      <c r="C8846" s="5" t="s">
        <v>11</v>
      </c>
      <c r="D8846" s="5" t="s">
        <v>12</v>
      </c>
      <c r="E8846" s="5" t="s">
        <v>3962</v>
      </c>
    </row>
    <row r="8847" spans="1:5" x14ac:dyDescent="0.25">
      <c r="A8847" s="5">
        <f>8839</f>
      </c>
      <c r="B8847" s="5" t="s">
        <v>8090</v>
      </c>
      <c r="C8847" s="5" t="s">
        <v>11</v>
      </c>
      <c r="D8847" s="5" t="s">
        <v>12</v>
      </c>
      <c r="E8847" s="5" t="s">
        <v>3962</v>
      </c>
    </row>
    <row r="8848" spans="1:5" x14ac:dyDescent="0.25">
      <c r="A8848" s="5">
        <f>8840</f>
      </c>
      <c r="B8848" s="5" t="s">
        <v>8091</v>
      </c>
      <c r="C8848" s="5" t="s">
        <v>11</v>
      </c>
      <c r="D8848" s="5" t="s">
        <v>12</v>
      </c>
      <c r="E8848" s="5" t="s">
        <v>3962</v>
      </c>
    </row>
    <row r="8849" spans="1:5" x14ac:dyDescent="0.25">
      <c r="A8849" s="5">
        <f>8841</f>
      </c>
      <c r="B8849" s="5" t="s">
        <v>8092</v>
      </c>
      <c r="C8849" s="5" t="s">
        <v>11</v>
      </c>
      <c r="D8849" s="5" t="s">
        <v>12</v>
      </c>
      <c r="E8849" s="5" t="s">
        <v>3962</v>
      </c>
    </row>
    <row r="8850" spans="1:5" x14ac:dyDescent="0.25">
      <c r="A8850" s="5">
        <f>8842</f>
      </c>
      <c r="B8850" s="5" t="s">
        <v>8093</v>
      </c>
      <c r="C8850" s="5" t="s">
        <v>11</v>
      </c>
      <c r="D8850" s="5" t="s">
        <v>12</v>
      </c>
      <c r="E8850" s="5" t="s">
        <v>3962</v>
      </c>
    </row>
    <row r="8851" spans="1:5" x14ac:dyDescent="0.25">
      <c r="A8851" s="5">
        <f>8843</f>
      </c>
      <c r="B8851" s="5" t="s">
        <v>8094</v>
      </c>
      <c r="C8851" s="5" t="s">
        <v>11</v>
      </c>
      <c r="D8851" s="5" t="s">
        <v>12</v>
      </c>
      <c r="E8851" s="5" t="s">
        <v>3962</v>
      </c>
    </row>
    <row r="8852" spans="1:5" x14ac:dyDescent="0.25">
      <c r="A8852" s="5">
        <f>8844</f>
      </c>
      <c r="B8852" s="5" t="s">
        <v>8095</v>
      </c>
      <c r="C8852" s="5" t="s">
        <v>11</v>
      </c>
      <c r="D8852" s="5" t="s">
        <v>12</v>
      </c>
      <c r="E8852" s="5" t="s">
        <v>3962</v>
      </c>
    </row>
    <row r="8853" spans="1:5" x14ac:dyDescent="0.25">
      <c r="A8853" s="5">
        <f>8845</f>
      </c>
      <c r="B8853" s="5" t="s">
        <v>8096</v>
      </c>
      <c r="C8853" s="5" t="s">
        <v>11</v>
      </c>
      <c r="D8853" s="5" t="s">
        <v>12</v>
      </c>
      <c r="E8853" s="5" t="s">
        <v>3962</v>
      </c>
    </row>
    <row r="8854" spans="1:5" x14ac:dyDescent="0.25">
      <c r="A8854" s="5">
        <f>8846</f>
      </c>
      <c r="B8854" s="5" t="s">
        <v>8097</v>
      </c>
      <c r="C8854" s="5" t="s">
        <v>11</v>
      </c>
      <c r="D8854" s="5" t="s">
        <v>12</v>
      </c>
      <c r="E8854" s="5" t="s">
        <v>3962</v>
      </c>
    </row>
    <row r="8855" spans="1:5" x14ac:dyDescent="0.25">
      <c r="A8855" s="5">
        <f>8847</f>
      </c>
      <c r="B8855" s="5" t="s">
        <v>8098</v>
      </c>
      <c r="C8855" s="5" t="s">
        <v>11</v>
      </c>
      <c r="D8855" s="5" t="s">
        <v>12</v>
      </c>
      <c r="E8855" s="5" t="s">
        <v>3962</v>
      </c>
    </row>
    <row r="8856" spans="1:5" x14ac:dyDescent="0.25">
      <c r="A8856" s="5">
        <f>8848</f>
      </c>
      <c r="B8856" s="5" t="s">
        <v>8099</v>
      </c>
      <c r="C8856" s="5" t="s">
        <v>11</v>
      </c>
      <c r="D8856" s="5" t="s">
        <v>12</v>
      </c>
      <c r="E8856" s="5" t="s">
        <v>3962</v>
      </c>
    </row>
    <row r="8857" spans="1:5" x14ac:dyDescent="0.25">
      <c r="A8857" s="5">
        <f>8849</f>
      </c>
      <c r="B8857" s="5" t="s">
        <v>8100</v>
      </c>
      <c r="C8857" s="5" t="s">
        <v>11</v>
      </c>
      <c r="D8857" s="5" t="s">
        <v>12</v>
      </c>
      <c r="E8857" s="5" t="s">
        <v>3962</v>
      </c>
    </row>
    <row r="8858" spans="1:5" x14ac:dyDescent="0.25">
      <c r="A8858" s="5">
        <f>8850</f>
      </c>
      <c r="B8858" s="5" t="s">
        <v>8101</v>
      </c>
      <c r="C8858" s="5" t="s">
        <v>11</v>
      </c>
      <c r="D8858" s="5" t="s">
        <v>12</v>
      </c>
      <c r="E8858" s="5" t="s">
        <v>3962</v>
      </c>
    </row>
    <row r="8859" spans="1:5" x14ac:dyDescent="0.25">
      <c r="A8859" s="5">
        <f>8851</f>
      </c>
      <c r="B8859" s="5" t="s">
        <v>8102</v>
      </c>
      <c r="C8859" s="5" t="s">
        <v>11</v>
      </c>
      <c r="D8859" s="5" t="s">
        <v>12</v>
      </c>
      <c r="E8859" s="5" t="s">
        <v>3962</v>
      </c>
    </row>
    <row r="8860" spans="1:5" x14ac:dyDescent="0.25">
      <c r="A8860" s="5">
        <f>8852</f>
      </c>
      <c r="B8860" s="5" t="s">
        <v>8103</v>
      </c>
      <c r="C8860" s="5" t="s">
        <v>11</v>
      </c>
      <c r="D8860" s="5" t="s">
        <v>12</v>
      </c>
      <c r="E8860" s="5" t="s">
        <v>3962</v>
      </c>
    </row>
    <row r="8861" spans="1:5" x14ac:dyDescent="0.25">
      <c r="A8861" s="5">
        <f>8853</f>
      </c>
      <c r="B8861" s="5" t="s">
        <v>8104</v>
      </c>
      <c r="C8861" s="5" t="s">
        <v>11</v>
      </c>
      <c r="D8861" s="5" t="s">
        <v>12</v>
      </c>
      <c r="E8861" s="5" t="s">
        <v>3962</v>
      </c>
    </row>
    <row r="8862" spans="1:5" x14ac:dyDescent="0.25">
      <c r="A8862" s="5">
        <f>8854</f>
      </c>
      <c r="B8862" s="5" t="s">
        <v>8105</v>
      </c>
      <c r="C8862" s="5" t="s">
        <v>11</v>
      </c>
      <c r="D8862" s="5" t="s">
        <v>12</v>
      </c>
      <c r="E8862" s="5" t="s">
        <v>3962</v>
      </c>
    </row>
    <row r="8863" spans="1:5" x14ac:dyDescent="0.25">
      <c r="A8863" s="5">
        <f>8855</f>
      </c>
      <c r="B8863" s="5" t="s">
        <v>8106</v>
      </c>
      <c r="C8863" s="5" t="s">
        <v>11</v>
      </c>
      <c r="D8863" s="5" t="s">
        <v>12</v>
      </c>
      <c r="E8863" s="5" t="s">
        <v>3962</v>
      </c>
    </row>
    <row r="8864" spans="1:5" x14ac:dyDescent="0.25">
      <c r="A8864" s="5">
        <f>8856</f>
      </c>
      <c r="B8864" s="5" t="s">
        <v>8107</v>
      </c>
      <c r="C8864" s="5" t="s">
        <v>11</v>
      </c>
      <c r="D8864" s="5" t="s">
        <v>12</v>
      </c>
      <c r="E8864" s="5" t="s">
        <v>3962</v>
      </c>
    </row>
    <row r="8865" spans="1:5" x14ac:dyDescent="0.25">
      <c r="A8865" s="5">
        <f>8857</f>
      </c>
      <c r="B8865" s="5" t="s">
        <v>8108</v>
      </c>
      <c r="C8865" s="5" t="s">
        <v>11</v>
      </c>
      <c r="D8865" s="5" t="s">
        <v>12</v>
      </c>
      <c r="E8865" s="5" t="s">
        <v>3962</v>
      </c>
    </row>
    <row r="8866" spans="1:5" x14ac:dyDescent="0.25">
      <c r="A8866" s="5">
        <f>8858</f>
      </c>
      <c r="B8866" s="5" t="s">
        <v>8109</v>
      </c>
      <c r="C8866" s="5" t="s">
        <v>11</v>
      </c>
      <c r="D8866" s="5" t="s">
        <v>12</v>
      </c>
      <c r="E8866" s="5" t="s">
        <v>3962</v>
      </c>
    </row>
    <row r="8867" spans="1:5" x14ac:dyDescent="0.25">
      <c r="A8867" s="5">
        <f>8859</f>
      </c>
      <c r="B8867" s="5" t="s">
        <v>8110</v>
      </c>
      <c r="C8867" s="5" t="s">
        <v>11</v>
      </c>
      <c r="D8867" s="5" t="s">
        <v>12</v>
      </c>
      <c r="E8867" s="5" t="s">
        <v>3962</v>
      </c>
    </row>
    <row r="8868" spans="1:5" x14ac:dyDescent="0.25">
      <c r="A8868" s="5">
        <f>8860</f>
      </c>
      <c r="B8868" s="5" t="s">
        <v>8111</v>
      </c>
      <c r="C8868" s="5" t="s">
        <v>11</v>
      </c>
      <c r="D8868" s="5" t="s">
        <v>12</v>
      </c>
      <c r="E8868" s="5" t="s">
        <v>3962</v>
      </c>
    </row>
    <row r="8869" spans="1:5" x14ac:dyDescent="0.25">
      <c r="A8869" s="5">
        <f>8861</f>
      </c>
      <c r="B8869" s="5" t="s">
        <v>8112</v>
      </c>
      <c r="C8869" s="5" t="s">
        <v>11</v>
      </c>
      <c r="D8869" s="5" t="s">
        <v>12</v>
      </c>
      <c r="E8869" s="5" t="s">
        <v>3962</v>
      </c>
    </row>
    <row r="8870" spans="1:5" x14ac:dyDescent="0.25">
      <c r="A8870" s="5">
        <f>8862</f>
      </c>
      <c r="B8870" s="5" t="s">
        <v>8113</v>
      </c>
      <c r="C8870" s="5" t="s">
        <v>11</v>
      </c>
      <c r="D8870" s="5" t="s">
        <v>12</v>
      </c>
      <c r="E8870" s="5" t="s">
        <v>3962</v>
      </c>
    </row>
    <row r="8871" spans="1:5" x14ac:dyDescent="0.25">
      <c r="A8871" s="5">
        <f>8863</f>
      </c>
      <c r="B8871" s="5" t="s">
        <v>8114</v>
      </c>
      <c r="C8871" s="5" t="s">
        <v>11</v>
      </c>
      <c r="D8871" s="5" t="s">
        <v>12</v>
      </c>
      <c r="E8871" s="5" t="s">
        <v>3962</v>
      </c>
    </row>
    <row r="8872" spans="1:5" x14ac:dyDescent="0.25">
      <c r="A8872" s="5">
        <f>8864</f>
      </c>
      <c r="B8872" s="5" t="s">
        <v>8115</v>
      </c>
      <c r="C8872" s="5" t="s">
        <v>11</v>
      </c>
      <c r="D8872" s="5" t="s">
        <v>12</v>
      </c>
      <c r="E8872" s="5" t="s">
        <v>3962</v>
      </c>
    </row>
    <row r="8873" spans="1:5" x14ac:dyDescent="0.25">
      <c r="A8873" s="5">
        <f>8865</f>
      </c>
      <c r="B8873" s="5" t="s">
        <v>8116</v>
      </c>
      <c r="C8873" s="5" t="s">
        <v>11</v>
      </c>
      <c r="D8873" s="5" t="s">
        <v>12</v>
      </c>
      <c r="E8873" s="5" t="s">
        <v>3962</v>
      </c>
    </row>
    <row r="8874" spans="1:5" x14ac:dyDescent="0.25">
      <c r="A8874" s="5">
        <f>8866</f>
      </c>
      <c r="B8874" s="5" t="s">
        <v>8117</v>
      </c>
      <c r="C8874" s="5" t="s">
        <v>11</v>
      </c>
      <c r="D8874" s="5" t="s">
        <v>12</v>
      </c>
      <c r="E8874" s="5" t="s">
        <v>3962</v>
      </c>
    </row>
    <row r="8875" spans="1:5" x14ac:dyDescent="0.25">
      <c r="A8875" s="5">
        <f>8867</f>
      </c>
      <c r="B8875" s="5" t="s">
        <v>8118</v>
      </c>
      <c r="C8875" s="5" t="s">
        <v>11</v>
      </c>
      <c r="D8875" s="5" t="s">
        <v>12</v>
      </c>
      <c r="E8875" s="5" t="s">
        <v>3962</v>
      </c>
    </row>
    <row r="8876" spans="1:5" x14ac:dyDescent="0.25">
      <c r="A8876" s="5">
        <f>8868</f>
      </c>
      <c r="B8876" s="5" t="s">
        <v>8119</v>
      </c>
      <c r="C8876" s="5" t="s">
        <v>11</v>
      </c>
      <c r="D8876" s="5" t="s">
        <v>12</v>
      </c>
      <c r="E8876" s="5" t="s">
        <v>3962</v>
      </c>
    </row>
    <row r="8877" spans="1:5" x14ac:dyDescent="0.25">
      <c r="A8877" s="5">
        <f>8869</f>
      </c>
      <c r="B8877" s="5" t="s">
        <v>8120</v>
      </c>
      <c r="C8877" s="5" t="s">
        <v>11</v>
      </c>
      <c r="D8877" s="5" t="s">
        <v>12</v>
      </c>
      <c r="E8877" s="5" t="s">
        <v>3962</v>
      </c>
    </row>
    <row r="8878" spans="1:5" x14ac:dyDescent="0.25">
      <c r="A8878" s="5">
        <f>8870</f>
      </c>
      <c r="B8878" s="5" t="s">
        <v>8121</v>
      </c>
      <c r="C8878" s="5" t="s">
        <v>11</v>
      </c>
      <c r="D8878" s="5" t="s">
        <v>12</v>
      </c>
      <c r="E8878" s="5" t="s">
        <v>3962</v>
      </c>
    </row>
    <row r="8879" spans="1:5" x14ac:dyDescent="0.25">
      <c r="A8879" s="5">
        <f>8871</f>
      </c>
      <c r="B8879" s="5" t="s">
        <v>8122</v>
      </c>
      <c r="C8879" s="5" t="s">
        <v>11</v>
      </c>
      <c r="D8879" s="5" t="s">
        <v>12</v>
      </c>
      <c r="E8879" s="5" t="s">
        <v>3962</v>
      </c>
    </row>
    <row r="8880" spans="1:5" x14ac:dyDescent="0.25">
      <c r="A8880" s="5">
        <f>8872</f>
      </c>
      <c r="B8880" s="5" t="s">
        <v>8123</v>
      </c>
      <c r="C8880" s="5" t="s">
        <v>11</v>
      </c>
      <c r="D8880" s="5" t="s">
        <v>12</v>
      </c>
      <c r="E8880" s="5" t="s">
        <v>3962</v>
      </c>
    </row>
    <row r="8881" spans="1:5" x14ac:dyDescent="0.25">
      <c r="A8881" s="5">
        <f>8873</f>
      </c>
      <c r="B8881" s="5" t="s">
        <v>8124</v>
      </c>
      <c r="C8881" s="5" t="s">
        <v>11</v>
      </c>
      <c r="D8881" s="5" t="s">
        <v>12</v>
      </c>
      <c r="E8881" s="5" t="s">
        <v>3962</v>
      </c>
    </row>
    <row r="8882" spans="1:5" x14ac:dyDescent="0.25">
      <c r="A8882" s="5">
        <f>8874</f>
      </c>
      <c r="B8882" s="5" t="s">
        <v>8125</v>
      </c>
      <c r="C8882" s="5" t="s">
        <v>11</v>
      </c>
      <c r="D8882" s="5" t="s">
        <v>12</v>
      </c>
      <c r="E8882" s="5" t="s">
        <v>3962</v>
      </c>
    </row>
    <row r="8883" spans="1:5" x14ac:dyDescent="0.25">
      <c r="A8883" s="5">
        <f>8875</f>
      </c>
      <c r="B8883" s="5" t="s">
        <v>8126</v>
      </c>
      <c r="C8883" s="5" t="s">
        <v>11</v>
      </c>
      <c r="D8883" s="5" t="s">
        <v>12</v>
      </c>
      <c r="E8883" s="5" t="s">
        <v>3962</v>
      </c>
    </row>
    <row r="8884" spans="1:5" x14ac:dyDescent="0.25">
      <c r="A8884" s="5">
        <f>8876</f>
      </c>
      <c r="B8884" s="5" t="s">
        <v>8127</v>
      </c>
      <c r="C8884" s="5" t="s">
        <v>11</v>
      </c>
      <c r="D8884" s="5" t="s">
        <v>12</v>
      </c>
      <c r="E8884" s="5" t="s">
        <v>3962</v>
      </c>
    </row>
    <row r="8885" spans="1:5" x14ac:dyDescent="0.25">
      <c r="A8885" s="5">
        <f>8877</f>
      </c>
      <c r="B8885" s="5" t="s">
        <v>8128</v>
      </c>
      <c r="C8885" s="5" t="s">
        <v>11</v>
      </c>
      <c r="D8885" s="5" t="s">
        <v>12</v>
      </c>
      <c r="E8885" s="5" t="s">
        <v>3962</v>
      </c>
    </row>
    <row r="8886" spans="1:5" x14ac:dyDescent="0.25">
      <c r="A8886" s="5">
        <f>8878</f>
      </c>
      <c r="B8886" s="5" t="s">
        <v>8129</v>
      </c>
      <c r="C8886" s="5" t="s">
        <v>11</v>
      </c>
      <c r="D8886" s="5" t="s">
        <v>12</v>
      </c>
      <c r="E8886" s="5" t="s">
        <v>3962</v>
      </c>
    </row>
    <row r="8887" spans="1:5" x14ac:dyDescent="0.25">
      <c r="A8887" s="5">
        <f>8879</f>
      </c>
      <c r="B8887" s="5" t="s">
        <v>8130</v>
      </c>
      <c r="C8887" s="5" t="s">
        <v>11</v>
      </c>
      <c r="D8887" s="5" t="s">
        <v>12</v>
      </c>
      <c r="E8887" s="5" t="s">
        <v>3962</v>
      </c>
    </row>
    <row r="8888" spans="1:5" x14ac:dyDescent="0.25">
      <c r="A8888" s="5">
        <f>8880</f>
      </c>
      <c r="B8888" s="5" t="s">
        <v>8131</v>
      </c>
      <c r="C8888" s="5" t="s">
        <v>11</v>
      </c>
      <c r="D8888" s="5" t="s">
        <v>12</v>
      </c>
      <c r="E8888" s="5" t="s">
        <v>3962</v>
      </c>
    </row>
    <row r="8889" spans="1:5" x14ac:dyDescent="0.25">
      <c r="A8889" s="5">
        <f>8881</f>
      </c>
      <c r="B8889" s="5" t="s">
        <v>8132</v>
      </c>
      <c r="C8889" s="5" t="s">
        <v>11</v>
      </c>
      <c r="D8889" s="5" t="s">
        <v>12</v>
      </c>
      <c r="E8889" s="5" t="s">
        <v>3962</v>
      </c>
    </row>
    <row r="8890" spans="1:5" x14ac:dyDescent="0.25">
      <c r="A8890" s="5">
        <f>8882</f>
      </c>
      <c r="B8890" s="5" t="s">
        <v>8133</v>
      </c>
      <c r="C8890" s="5" t="s">
        <v>11</v>
      </c>
      <c r="D8890" s="5" t="s">
        <v>12</v>
      </c>
      <c r="E8890" s="5" t="s">
        <v>3962</v>
      </c>
    </row>
    <row r="8891" spans="1:5" x14ac:dyDescent="0.25">
      <c r="A8891" s="5">
        <f>8883</f>
      </c>
      <c r="B8891" s="5" t="s">
        <v>8134</v>
      </c>
      <c r="C8891" s="5" t="s">
        <v>11</v>
      </c>
      <c r="D8891" s="5" t="s">
        <v>12</v>
      </c>
      <c r="E8891" s="5" t="s">
        <v>3962</v>
      </c>
    </row>
    <row r="8892" spans="1:5" x14ac:dyDescent="0.25">
      <c r="A8892" s="5">
        <f>8884</f>
      </c>
      <c r="B8892" s="5" t="s">
        <v>8135</v>
      </c>
      <c r="C8892" s="5" t="s">
        <v>11</v>
      </c>
      <c r="D8892" s="5" t="s">
        <v>12</v>
      </c>
      <c r="E8892" s="5" t="s">
        <v>3962</v>
      </c>
    </row>
    <row r="8893" spans="1:5" x14ac:dyDescent="0.25">
      <c r="A8893" s="5">
        <f>8885</f>
      </c>
      <c r="B8893" s="5" t="s">
        <v>8136</v>
      </c>
      <c r="C8893" s="5" t="s">
        <v>11</v>
      </c>
      <c r="D8893" s="5" t="s">
        <v>12</v>
      </c>
      <c r="E8893" s="5" t="s">
        <v>3962</v>
      </c>
    </row>
    <row r="8894" spans="1:5" x14ac:dyDescent="0.25">
      <c r="A8894" s="5">
        <f>8886</f>
      </c>
      <c r="B8894" s="5" t="s">
        <v>8137</v>
      </c>
      <c r="C8894" s="5" t="s">
        <v>11</v>
      </c>
      <c r="D8894" s="5" t="s">
        <v>12</v>
      </c>
      <c r="E8894" s="5" t="s">
        <v>3962</v>
      </c>
    </row>
    <row r="8895" spans="1:5" x14ac:dyDescent="0.25">
      <c r="A8895" s="5">
        <f>8887</f>
      </c>
      <c r="B8895" s="5" t="s">
        <v>8138</v>
      </c>
      <c r="C8895" s="5" t="s">
        <v>11</v>
      </c>
      <c r="D8895" s="5" t="s">
        <v>12</v>
      </c>
      <c r="E8895" s="5" t="s">
        <v>3962</v>
      </c>
    </row>
    <row r="8896" spans="1:5" x14ac:dyDescent="0.25">
      <c r="A8896" s="5">
        <f>8888</f>
      </c>
      <c r="B8896" s="5" t="s">
        <v>8139</v>
      </c>
      <c r="C8896" s="5" t="s">
        <v>11</v>
      </c>
      <c r="D8896" s="5" t="s">
        <v>12</v>
      </c>
      <c r="E8896" s="5" t="s">
        <v>3962</v>
      </c>
    </row>
    <row r="8897" spans="1:5" x14ac:dyDescent="0.25">
      <c r="A8897" s="5">
        <f>8889</f>
      </c>
      <c r="B8897" s="5" t="s">
        <v>8140</v>
      </c>
      <c r="C8897" s="5" t="s">
        <v>11</v>
      </c>
      <c r="D8897" s="5" t="s">
        <v>12</v>
      </c>
      <c r="E8897" s="5" t="s">
        <v>3962</v>
      </c>
    </row>
    <row r="8898" spans="1:5" x14ac:dyDescent="0.25">
      <c r="A8898" s="5">
        <f>8890</f>
      </c>
      <c r="B8898" s="5" t="s">
        <v>8141</v>
      </c>
      <c r="C8898" s="5" t="s">
        <v>11</v>
      </c>
      <c r="D8898" s="5" t="s">
        <v>12</v>
      </c>
      <c r="E8898" s="5" t="s">
        <v>3962</v>
      </c>
    </row>
    <row r="8899" spans="1:5" x14ac:dyDescent="0.25">
      <c r="A8899" s="5">
        <f>8891</f>
      </c>
      <c r="B8899" s="5" t="s">
        <v>8142</v>
      </c>
      <c r="C8899" s="5" t="s">
        <v>11</v>
      </c>
      <c r="D8899" s="5" t="s">
        <v>12</v>
      </c>
      <c r="E8899" s="5" t="s">
        <v>3962</v>
      </c>
    </row>
    <row r="8900" spans="1:5" x14ac:dyDescent="0.25">
      <c r="A8900" s="5">
        <f>8892</f>
      </c>
      <c r="B8900" s="5" t="s">
        <v>8143</v>
      </c>
      <c r="C8900" s="5" t="s">
        <v>11</v>
      </c>
      <c r="D8900" s="5" t="s">
        <v>12</v>
      </c>
      <c r="E8900" s="5" t="s">
        <v>3962</v>
      </c>
    </row>
    <row r="8901" spans="1:5" x14ac:dyDescent="0.25">
      <c r="A8901" s="5">
        <f>8893</f>
      </c>
      <c r="B8901" s="5" t="s">
        <v>8144</v>
      </c>
      <c r="C8901" s="5" t="s">
        <v>11</v>
      </c>
      <c r="D8901" s="5" t="s">
        <v>12</v>
      </c>
      <c r="E8901" s="5" t="s">
        <v>3962</v>
      </c>
    </row>
    <row r="8902" spans="1:5" x14ac:dyDescent="0.25">
      <c r="A8902" s="5">
        <f>8894</f>
      </c>
      <c r="B8902" s="5" t="s">
        <v>8145</v>
      </c>
      <c r="C8902" s="5" t="s">
        <v>11</v>
      </c>
      <c r="D8902" s="5" t="s">
        <v>12</v>
      </c>
      <c r="E8902" s="5" t="s">
        <v>3962</v>
      </c>
    </row>
    <row r="8903" spans="1:5" x14ac:dyDescent="0.25">
      <c r="A8903" s="5">
        <f>8895</f>
      </c>
      <c r="B8903" s="5" t="s">
        <v>8146</v>
      </c>
      <c r="C8903" s="5" t="s">
        <v>11</v>
      </c>
      <c r="D8903" s="5" t="s">
        <v>12</v>
      </c>
      <c r="E8903" s="5" t="s">
        <v>3962</v>
      </c>
    </row>
    <row r="8904" spans="1:5" x14ac:dyDescent="0.25">
      <c r="A8904" s="5">
        <f>8896</f>
      </c>
      <c r="B8904" s="5" t="s">
        <v>8147</v>
      </c>
      <c r="C8904" s="5" t="s">
        <v>11</v>
      </c>
      <c r="D8904" s="5" t="s">
        <v>12</v>
      </c>
      <c r="E8904" s="5" t="s">
        <v>3962</v>
      </c>
    </row>
    <row r="8905" spans="1:5" x14ac:dyDescent="0.25">
      <c r="A8905" s="5">
        <f>8897</f>
      </c>
      <c r="B8905" s="5" t="s">
        <v>8148</v>
      </c>
      <c r="C8905" s="5" t="s">
        <v>11</v>
      </c>
      <c r="D8905" s="5" t="s">
        <v>12</v>
      </c>
      <c r="E8905" s="5" t="s">
        <v>3962</v>
      </c>
    </row>
    <row r="8906" spans="1:5" x14ac:dyDescent="0.25">
      <c r="A8906" s="5">
        <f>8898</f>
      </c>
      <c r="B8906" s="5" t="s">
        <v>8149</v>
      </c>
      <c r="C8906" s="5" t="s">
        <v>11</v>
      </c>
      <c r="D8906" s="5" t="s">
        <v>12</v>
      </c>
      <c r="E8906" s="5" t="s">
        <v>3962</v>
      </c>
    </row>
    <row r="8907" spans="1:5" x14ac:dyDescent="0.25">
      <c r="A8907" s="5">
        <f>8899</f>
      </c>
      <c r="B8907" s="5" t="s">
        <v>8150</v>
      </c>
      <c r="C8907" s="5" t="s">
        <v>11</v>
      </c>
      <c r="D8907" s="5" t="s">
        <v>12</v>
      </c>
      <c r="E8907" s="5" t="s">
        <v>3962</v>
      </c>
    </row>
    <row r="8908" spans="1:5" x14ac:dyDescent="0.25">
      <c r="A8908" s="5">
        <f>8900</f>
      </c>
      <c r="B8908" s="5" t="s">
        <v>8151</v>
      </c>
      <c r="C8908" s="5" t="s">
        <v>11</v>
      </c>
      <c r="D8908" s="5" t="s">
        <v>12</v>
      </c>
      <c r="E8908" s="5" t="s">
        <v>3962</v>
      </c>
    </row>
    <row r="8909" spans="1:5" x14ac:dyDescent="0.25">
      <c r="A8909" s="5">
        <f>8901</f>
      </c>
      <c r="B8909" s="5" t="s">
        <v>8152</v>
      </c>
      <c r="C8909" s="5" t="s">
        <v>11</v>
      </c>
      <c r="D8909" s="5" t="s">
        <v>12</v>
      </c>
      <c r="E8909" s="5" t="s">
        <v>3962</v>
      </c>
    </row>
    <row r="8910" spans="1:5" x14ac:dyDescent="0.25">
      <c r="A8910" s="5">
        <f>8902</f>
      </c>
      <c r="B8910" s="5" t="s">
        <v>8153</v>
      </c>
      <c r="C8910" s="5" t="s">
        <v>11</v>
      </c>
      <c r="D8910" s="5" t="s">
        <v>12</v>
      </c>
      <c r="E8910" s="5" t="s">
        <v>3962</v>
      </c>
    </row>
    <row r="8911" spans="1:5" x14ac:dyDescent="0.25">
      <c r="A8911" s="5">
        <f>8903</f>
      </c>
      <c r="B8911" s="5" t="s">
        <v>8154</v>
      </c>
      <c r="C8911" s="5" t="s">
        <v>11</v>
      </c>
      <c r="D8911" s="5" t="s">
        <v>12</v>
      </c>
      <c r="E8911" s="5" t="s">
        <v>3962</v>
      </c>
    </row>
    <row r="8912" spans="1:5" x14ac:dyDescent="0.25">
      <c r="A8912" s="5">
        <f>8904</f>
      </c>
      <c r="B8912" s="5" t="s">
        <v>8155</v>
      </c>
      <c r="C8912" s="5" t="s">
        <v>11</v>
      </c>
      <c r="D8912" s="5" t="s">
        <v>12</v>
      </c>
      <c r="E8912" s="5" t="s">
        <v>3962</v>
      </c>
    </row>
    <row r="8913" spans="1:5" x14ac:dyDescent="0.25">
      <c r="A8913" s="5">
        <f>8905</f>
      </c>
      <c r="B8913" s="5" t="s">
        <v>8156</v>
      </c>
      <c r="C8913" s="5" t="s">
        <v>11</v>
      </c>
      <c r="D8913" s="5" t="s">
        <v>12</v>
      </c>
      <c r="E8913" s="5" t="s">
        <v>3962</v>
      </c>
    </row>
    <row r="8914" spans="1:5" x14ac:dyDescent="0.25">
      <c r="A8914" s="5">
        <f>8906</f>
      </c>
      <c r="B8914" s="5" t="s">
        <v>8157</v>
      </c>
      <c r="C8914" s="5" t="s">
        <v>11</v>
      </c>
      <c r="D8914" s="5" t="s">
        <v>12</v>
      </c>
      <c r="E8914" s="5" t="s">
        <v>3962</v>
      </c>
    </row>
    <row r="8915" spans="1:5" x14ac:dyDescent="0.25">
      <c r="A8915" s="5">
        <f>8907</f>
      </c>
      <c r="B8915" s="5" t="s">
        <v>8158</v>
      </c>
      <c r="C8915" s="5" t="s">
        <v>11</v>
      </c>
      <c r="D8915" s="5" t="s">
        <v>12</v>
      </c>
      <c r="E8915" s="5" t="s">
        <v>3962</v>
      </c>
    </row>
    <row r="8916" spans="1:5" x14ac:dyDescent="0.25">
      <c r="A8916" s="5">
        <f>8908</f>
      </c>
      <c r="B8916" s="5" t="s">
        <v>8159</v>
      </c>
      <c r="C8916" s="5" t="s">
        <v>11</v>
      </c>
      <c r="D8916" s="5" t="s">
        <v>12</v>
      </c>
      <c r="E8916" s="5" t="s">
        <v>3962</v>
      </c>
    </row>
    <row r="8917" spans="1:5" x14ac:dyDescent="0.25">
      <c r="A8917" s="5">
        <f>8909</f>
      </c>
      <c r="B8917" s="5" t="s">
        <v>8160</v>
      </c>
      <c r="C8917" s="5" t="s">
        <v>11</v>
      </c>
      <c r="D8917" s="5" t="s">
        <v>12</v>
      </c>
      <c r="E8917" s="5" t="s">
        <v>3962</v>
      </c>
    </row>
    <row r="8918" spans="1:5" x14ac:dyDescent="0.25">
      <c r="A8918" s="5">
        <f>8910</f>
      </c>
      <c r="B8918" s="5" t="s">
        <v>8161</v>
      </c>
      <c r="C8918" s="5" t="s">
        <v>11</v>
      </c>
      <c r="D8918" s="5" t="s">
        <v>12</v>
      </c>
      <c r="E8918" s="5" t="s">
        <v>3962</v>
      </c>
    </row>
    <row r="8919" spans="1:5" x14ac:dyDescent="0.25">
      <c r="A8919" s="5">
        <f>8911</f>
      </c>
      <c r="B8919" s="5" t="s">
        <v>8162</v>
      </c>
      <c r="C8919" s="5" t="s">
        <v>11</v>
      </c>
      <c r="D8919" s="5" t="s">
        <v>12</v>
      </c>
      <c r="E8919" s="5" t="s">
        <v>3962</v>
      </c>
    </row>
    <row r="8920" spans="1:5" x14ac:dyDescent="0.25">
      <c r="A8920" s="5">
        <f>8912</f>
      </c>
      <c r="B8920" s="5" t="s">
        <v>8163</v>
      </c>
      <c r="C8920" s="5" t="s">
        <v>11</v>
      </c>
      <c r="D8920" s="5" t="s">
        <v>12</v>
      </c>
      <c r="E8920" s="5" t="s">
        <v>3962</v>
      </c>
    </row>
    <row r="8921" spans="1:5" x14ac:dyDescent="0.25">
      <c r="A8921" s="5">
        <f>8913</f>
      </c>
      <c r="B8921" s="5" t="s">
        <v>8164</v>
      </c>
      <c r="C8921" s="5" t="s">
        <v>11</v>
      </c>
      <c r="D8921" s="5" t="s">
        <v>12</v>
      </c>
      <c r="E8921" s="5" t="s">
        <v>3962</v>
      </c>
    </row>
    <row r="8922" spans="1:5" x14ac:dyDescent="0.25">
      <c r="A8922" s="5">
        <f>8914</f>
      </c>
      <c r="B8922" s="5" t="s">
        <v>8165</v>
      </c>
      <c r="C8922" s="5" t="s">
        <v>11</v>
      </c>
      <c r="D8922" s="5" t="s">
        <v>12</v>
      </c>
      <c r="E8922" s="5" t="s">
        <v>3962</v>
      </c>
    </row>
    <row r="8923" spans="1:5" x14ac:dyDescent="0.25">
      <c r="A8923" s="5">
        <f>8915</f>
      </c>
      <c r="B8923" s="5" t="s">
        <v>8166</v>
      </c>
      <c r="C8923" s="5" t="s">
        <v>11</v>
      </c>
      <c r="D8923" s="5" t="s">
        <v>12</v>
      </c>
      <c r="E8923" s="5" t="s">
        <v>3962</v>
      </c>
    </row>
    <row r="8924" spans="1:5" x14ac:dyDescent="0.25">
      <c r="A8924" s="5">
        <f>8916</f>
      </c>
      <c r="B8924" s="5" t="s">
        <v>8167</v>
      </c>
      <c r="C8924" s="5" t="s">
        <v>11</v>
      </c>
      <c r="D8924" s="5" t="s">
        <v>12</v>
      </c>
      <c r="E8924" s="5" t="s">
        <v>3962</v>
      </c>
    </row>
    <row r="8925" spans="1:5" x14ac:dyDescent="0.25">
      <c r="A8925" s="5">
        <f>8917</f>
      </c>
      <c r="B8925" s="5" t="s">
        <v>8168</v>
      </c>
      <c r="C8925" s="5" t="s">
        <v>11</v>
      </c>
      <c r="D8925" s="5" t="s">
        <v>12</v>
      </c>
      <c r="E8925" s="5" t="s">
        <v>3962</v>
      </c>
    </row>
    <row r="8926" spans="1:5" x14ac:dyDescent="0.25">
      <c r="A8926" s="5">
        <f>8918</f>
      </c>
      <c r="B8926" s="5" t="s">
        <v>8169</v>
      </c>
      <c r="C8926" s="5" t="s">
        <v>11</v>
      </c>
      <c r="D8926" s="5" t="s">
        <v>12</v>
      </c>
      <c r="E8926" s="5" t="s">
        <v>3962</v>
      </c>
    </row>
    <row r="8927" spans="1:5" x14ac:dyDescent="0.25">
      <c r="A8927" s="5">
        <f>8919</f>
      </c>
      <c r="B8927" s="5" t="s">
        <v>8170</v>
      </c>
      <c r="C8927" s="5" t="s">
        <v>11</v>
      </c>
      <c r="D8927" s="5" t="s">
        <v>12</v>
      </c>
      <c r="E8927" s="5" t="s">
        <v>3962</v>
      </c>
    </row>
    <row r="8928" spans="1:5" x14ac:dyDescent="0.25">
      <c r="A8928" s="5">
        <f>8920</f>
      </c>
      <c r="B8928" s="5" t="s">
        <v>8171</v>
      </c>
      <c r="C8928" s="5" t="s">
        <v>11</v>
      </c>
      <c r="D8928" s="5" t="s">
        <v>12</v>
      </c>
      <c r="E8928" s="5" t="s">
        <v>3962</v>
      </c>
    </row>
    <row r="8929" spans="1:5" x14ac:dyDescent="0.25">
      <c r="A8929" s="5">
        <f>8921</f>
      </c>
      <c r="B8929" s="5" t="s">
        <v>8172</v>
      </c>
      <c r="C8929" s="5" t="s">
        <v>11</v>
      </c>
      <c r="D8929" s="5" t="s">
        <v>12</v>
      </c>
      <c r="E8929" s="5" t="s">
        <v>3962</v>
      </c>
    </row>
    <row r="8930" spans="1:5" x14ac:dyDescent="0.25">
      <c r="A8930" s="5">
        <f>8922</f>
      </c>
      <c r="B8930" s="5" t="s">
        <v>8173</v>
      </c>
      <c r="C8930" s="5" t="s">
        <v>11</v>
      </c>
      <c r="D8930" s="5" t="s">
        <v>12</v>
      </c>
      <c r="E8930" s="5" t="s">
        <v>3962</v>
      </c>
    </row>
    <row r="8931" spans="1:5" x14ac:dyDescent="0.25">
      <c r="A8931" s="5">
        <f>8923</f>
      </c>
      <c r="B8931" s="5" t="s">
        <v>8174</v>
      </c>
      <c r="C8931" s="5" t="s">
        <v>11</v>
      </c>
      <c r="D8931" s="5" t="s">
        <v>12</v>
      </c>
      <c r="E8931" s="5" t="s">
        <v>3962</v>
      </c>
    </row>
    <row r="8932" spans="1:5" x14ac:dyDescent="0.25">
      <c r="A8932" s="5">
        <f>8924</f>
      </c>
      <c r="B8932" s="5" t="s">
        <v>8175</v>
      </c>
      <c r="C8932" s="5" t="s">
        <v>11</v>
      </c>
      <c r="D8932" s="5" t="s">
        <v>12</v>
      </c>
      <c r="E8932" s="5" t="s">
        <v>3962</v>
      </c>
    </row>
    <row r="8933" spans="1:5" x14ac:dyDescent="0.25">
      <c r="A8933" s="5">
        <f>8925</f>
      </c>
      <c r="B8933" s="5" t="s">
        <v>8176</v>
      </c>
      <c r="C8933" s="5" t="s">
        <v>11</v>
      </c>
      <c r="D8933" s="5" t="s">
        <v>12</v>
      </c>
      <c r="E8933" s="5" t="s">
        <v>3962</v>
      </c>
    </row>
    <row r="8934" spans="1:5" x14ac:dyDescent="0.25">
      <c r="A8934" s="5">
        <f>8926</f>
      </c>
      <c r="B8934" s="5" t="s">
        <v>8177</v>
      </c>
      <c r="C8934" s="5" t="s">
        <v>11</v>
      </c>
      <c r="D8934" s="5" t="s">
        <v>12</v>
      </c>
      <c r="E8934" s="5" t="s">
        <v>3962</v>
      </c>
    </row>
    <row r="8935" spans="1:5" x14ac:dyDescent="0.25">
      <c r="A8935" s="5">
        <f>8927</f>
      </c>
      <c r="B8935" s="5" t="s">
        <v>8178</v>
      </c>
      <c r="C8935" s="5" t="s">
        <v>11</v>
      </c>
      <c r="D8935" s="5" t="s">
        <v>12</v>
      </c>
      <c r="E8935" s="5" t="s">
        <v>3962</v>
      </c>
    </row>
    <row r="8936" spans="1:5" x14ac:dyDescent="0.25">
      <c r="A8936" s="5">
        <f>8928</f>
      </c>
      <c r="B8936" s="5" t="s">
        <v>8179</v>
      </c>
      <c r="C8936" s="5" t="s">
        <v>11</v>
      </c>
      <c r="D8936" s="5" t="s">
        <v>12</v>
      </c>
      <c r="E8936" s="5" t="s">
        <v>3962</v>
      </c>
    </row>
    <row r="8937" spans="1:5" x14ac:dyDescent="0.25">
      <c r="A8937" s="5">
        <f>8929</f>
      </c>
      <c r="B8937" s="5" t="s">
        <v>8180</v>
      </c>
      <c r="C8937" s="5" t="s">
        <v>11</v>
      </c>
      <c r="D8937" s="5" t="s">
        <v>12</v>
      </c>
      <c r="E8937" s="5" t="s">
        <v>3962</v>
      </c>
    </row>
    <row r="8938" spans="1:5" x14ac:dyDescent="0.25">
      <c r="A8938" s="5">
        <f>8930</f>
      </c>
      <c r="B8938" s="5" t="s">
        <v>8181</v>
      </c>
      <c r="C8938" s="5" t="s">
        <v>11</v>
      </c>
      <c r="D8938" s="5" t="s">
        <v>12</v>
      </c>
      <c r="E8938" s="5" t="s">
        <v>3962</v>
      </c>
    </row>
    <row r="8939" spans="1:5" x14ac:dyDescent="0.25">
      <c r="A8939" s="5">
        <f>8931</f>
      </c>
      <c r="B8939" s="5" t="s">
        <v>8182</v>
      </c>
      <c r="C8939" s="5" t="s">
        <v>11</v>
      </c>
      <c r="D8939" s="5" t="s">
        <v>12</v>
      </c>
      <c r="E8939" s="5" t="s">
        <v>3962</v>
      </c>
    </row>
    <row r="8940" spans="1:5" x14ac:dyDescent="0.25">
      <c r="A8940" s="5">
        <f>8932</f>
      </c>
      <c r="B8940" s="5" t="s">
        <v>8183</v>
      </c>
      <c r="C8940" s="5" t="s">
        <v>11</v>
      </c>
      <c r="D8940" s="5" t="s">
        <v>12</v>
      </c>
      <c r="E8940" s="5" t="s">
        <v>3962</v>
      </c>
    </row>
    <row r="8941" spans="1:5" x14ac:dyDescent="0.25">
      <c r="A8941" s="5">
        <f>8933</f>
      </c>
      <c r="B8941" s="5" t="s">
        <v>8184</v>
      </c>
      <c r="C8941" s="5" t="s">
        <v>11</v>
      </c>
      <c r="D8941" s="5" t="s">
        <v>12</v>
      </c>
      <c r="E8941" s="5" t="s">
        <v>3962</v>
      </c>
    </row>
    <row r="8942" spans="1:5" x14ac:dyDescent="0.25">
      <c r="A8942" s="5">
        <f>8934</f>
      </c>
      <c r="B8942" s="5" t="s">
        <v>8185</v>
      </c>
      <c r="C8942" s="5" t="s">
        <v>11</v>
      </c>
      <c r="D8942" s="5" t="s">
        <v>12</v>
      </c>
      <c r="E8942" s="5" t="s">
        <v>3962</v>
      </c>
    </row>
    <row r="8943" spans="1:5" x14ac:dyDescent="0.25">
      <c r="A8943" s="5">
        <f>8935</f>
      </c>
      <c r="B8943" s="5" t="s">
        <v>8186</v>
      </c>
      <c r="C8943" s="5" t="s">
        <v>11</v>
      </c>
      <c r="D8943" s="5" t="s">
        <v>12</v>
      </c>
      <c r="E8943" s="5" t="s">
        <v>3962</v>
      </c>
    </row>
    <row r="8944" spans="1:5" x14ac:dyDescent="0.25">
      <c r="A8944" s="5">
        <f>8936</f>
      </c>
      <c r="B8944" s="5" t="s">
        <v>8187</v>
      </c>
      <c r="C8944" s="5" t="s">
        <v>11</v>
      </c>
      <c r="D8944" s="5" t="s">
        <v>12</v>
      </c>
      <c r="E8944" s="5" t="s">
        <v>3962</v>
      </c>
    </row>
    <row r="8945" spans="1:5" x14ac:dyDescent="0.25">
      <c r="A8945" s="5">
        <f>8937</f>
      </c>
      <c r="B8945" s="5" t="s">
        <v>8188</v>
      </c>
      <c r="C8945" s="5" t="s">
        <v>11</v>
      </c>
      <c r="D8945" s="5" t="s">
        <v>12</v>
      </c>
      <c r="E8945" s="5" t="s">
        <v>3962</v>
      </c>
    </row>
    <row r="8946" spans="1:5" x14ac:dyDescent="0.25">
      <c r="A8946" s="5">
        <f>8938</f>
      </c>
      <c r="B8946" s="5" t="s">
        <v>8189</v>
      </c>
      <c r="C8946" s="5" t="s">
        <v>11</v>
      </c>
      <c r="D8946" s="5" t="s">
        <v>12</v>
      </c>
      <c r="E8946" s="5" t="s">
        <v>3962</v>
      </c>
    </row>
    <row r="8947" spans="1:5" x14ac:dyDescent="0.25">
      <c r="A8947" s="5">
        <f>8939</f>
      </c>
      <c r="B8947" s="5" t="s">
        <v>8190</v>
      </c>
      <c r="C8947" s="5" t="s">
        <v>11</v>
      </c>
      <c r="D8947" s="5" t="s">
        <v>12</v>
      </c>
      <c r="E8947" s="5" t="s">
        <v>3962</v>
      </c>
    </row>
    <row r="8948" spans="1:5" x14ac:dyDescent="0.25">
      <c r="A8948" s="5">
        <f>8940</f>
      </c>
      <c r="B8948" s="5" t="s">
        <v>8191</v>
      </c>
      <c r="C8948" s="5" t="s">
        <v>11</v>
      </c>
      <c r="D8948" s="5" t="s">
        <v>12</v>
      </c>
      <c r="E8948" s="5" t="s">
        <v>3962</v>
      </c>
    </row>
    <row r="8949" spans="1:5" x14ac:dyDescent="0.25">
      <c r="A8949" s="5">
        <f>8941</f>
      </c>
      <c r="B8949" s="5" t="s">
        <v>8192</v>
      </c>
      <c r="C8949" s="5" t="s">
        <v>11</v>
      </c>
      <c r="D8949" s="5" t="s">
        <v>12</v>
      </c>
      <c r="E8949" s="5" t="s">
        <v>3962</v>
      </c>
    </row>
    <row r="8950" spans="1:5" x14ac:dyDescent="0.25">
      <c r="A8950" s="5">
        <f>8942</f>
      </c>
      <c r="B8950" s="5" t="s">
        <v>8193</v>
      </c>
      <c r="C8950" s="5" t="s">
        <v>11</v>
      </c>
      <c r="D8950" s="5" t="s">
        <v>12</v>
      </c>
      <c r="E8950" s="5" t="s">
        <v>3962</v>
      </c>
    </row>
    <row r="8951" spans="1:5" x14ac:dyDescent="0.25">
      <c r="A8951" s="5">
        <f>8943</f>
      </c>
      <c r="B8951" s="5" t="s">
        <v>8194</v>
      </c>
      <c r="C8951" s="5" t="s">
        <v>11</v>
      </c>
      <c r="D8951" s="5" t="s">
        <v>12</v>
      </c>
      <c r="E8951" s="5" t="s">
        <v>3962</v>
      </c>
    </row>
    <row r="8952" spans="1:5" x14ac:dyDescent="0.25">
      <c r="A8952" s="5">
        <f>8944</f>
      </c>
      <c r="B8952" s="5" t="s">
        <v>8195</v>
      </c>
      <c r="C8952" s="5" t="s">
        <v>11</v>
      </c>
      <c r="D8952" s="5" t="s">
        <v>12</v>
      </c>
      <c r="E8952" s="5" t="s">
        <v>3962</v>
      </c>
    </row>
    <row r="8953" spans="1:5" x14ac:dyDescent="0.25">
      <c r="A8953" s="5">
        <f>8945</f>
      </c>
      <c r="B8953" s="5" t="s">
        <v>8196</v>
      </c>
      <c r="C8953" s="5" t="s">
        <v>11</v>
      </c>
      <c r="D8953" s="5" t="s">
        <v>12</v>
      </c>
      <c r="E8953" s="5" t="s">
        <v>3962</v>
      </c>
    </row>
    <row r="8954" spans="1:5" x14ac:dyDescent="0.25">
      <c r="A8954" s="5">
        <f>8946</f>
      </c>
      <c r="B8954" s="5" t="s">
        <v>8197</v>
      </c>
      <c r="C8954" s="5" t="s">
        <v>11</v>
      </c>
      <c r="D8954" s="5" t="s">
        <v>12</v>
      </c>
      <c r="E8954" s="5" t="s">
        <v>3962</v>
      </c>
    </row>
    <row r="8955" spans="1:5" x14ac:dyDescent="0.25">
      <c r="A8955" s="5">
        <f>8947</f>
      </c>
      <c r="B8955" s="5" t="s">
        <v>8198</v>
      </c>
      <c r="C8955" s="5" t="s">
        <v>11</v>
      </c>
      <c r="D8955" s="5" t="s">
        <v>12</v>
      </c>
      <c r="E8955" s="5" t="s">
        <v>3962</v>
      </c>
    </row>
    <row r="8956" spans="1:5" x14ac:dyDescent="0.25">
      <c r="A8956" s="5">
        <f>8948</f>
      </c>
      <c r="B8956" s="5" t="s">
        <v>8199</v>
      </c>
      <c r="C8956" s="5" t="s">
        <v>11</v>
      </c>
      <c r="D8956" s="5" t="s">
        <v>12</v>
      </c>
      <c r="E8956" s="5" t="s">
        <v>3962</v>
      </c>
    </row>
    <row r="8957" spans="1:5" x14ac:dyDescent="0.25">
      <c r="A8957" s="5">
        <f>8949</f>
      </c>
      <c r="B8957" s="5" t="s">
        <v>8200</v>
      </c>
      <c r="C8957" s="5" t="s">
        <v>11</v>
      </c>
      <c r="D8957" s="5" t="s">
        <v>12</v>
      </c>
      <c r="E8957" s="5" t="s">
        <v>3962</v>
      </c>
    </row>
    <row r="8958" spans="1:5" x14ac:dyDescent="0.25">
      <c r="A8958" s="5">
        <f>8950</f>
      </c>
      <c r="B8958" s="5" t="s">
        <v>8201</v>
      </c>
      <c r="C8958" s="5" t="s">
        <v>11</v>
      </c>
      <c r="D8958" s="5" t="s">
        <v>12</v>
      </c>
      <c r="E8958" s="5" t="s">
        <v>3962</v>
      </c>
    </row>
    <row r="8959" spans="1:5" x14ac:dyDescent="0.25">
      <c r="A8959" s="5">
        <f>8951</f>
      </c>
      <c r="B8959" s="5" t="s">
        <v>8202</v>
      </c>
      <c r="C8959" s="5" t="s">
        <v>11</v>
      </c>
      <c r="D8959" s="5" t="s">
        <v>12</v>
      </c>
      <c r="E8959" s="5" t="s">
        <v>3962</v>
      </c>
    </row>
    <row r="8960" spans="1:5" x14ac:dyDescent="0.25">
      <c r="A8960" s="5">
        <f>8952</f>
      </c>
      <c r="B8960" s="5" t="s">
        <v>8203</v>
      </c>
      <c r="C8960" s="5" t="s">
        <v>11</v>
      </c>
      <c r="D8960" s="5" t="s">
        <v>12</v>
      </c>
      <c r="E8960" s="5" t="s">
        <v>3962</v>
      </c>
    </row>
    <row r="8961" spans="1:5" x14ac:dyDescent="0.25">
      <c r="A8961" s="5">
        <f>8953</f>
      </c>
      <c r="B8961" s="5" t="s">
        <v>8204</v>
      </c>
      <c r="C8961" s="5" t="s">
        <v>11</v>
      </c>
      <c r="D8961" s="5" t="s">
        <v>12</v>
      </c>
      <c r="E8961" s="5" t="s">
        <v>3962</v>
      </c>
    </row>
    <row r="8962" spans="1:5" x14ac:dyDescent="0.25">
      <c r="A8962" s="5">
        <f>8954</f>
      </c>
      <c r="B8962" s="5" t="s">
        <v>8205</v>
      </c>
      <c r="C8962" s="5" t="s">
        <v>11</v>
      </c>
      <c r="D8962" s="5" t="s">
        <v>12</v>
      </c>
      <c r="E8962" s="5" t="s">
        <v>3962</v>
      </c>
    </row>
    <row r="8963" spans="1:5" x14ac:dyDescent="0.25">
      <c r="A8963" s="5">
        <f>8955</f>
      </c>
      <c r="B8963" s="5" t="s">
        <v>8206</v>
      </c>
      <c r="C8963" s="5" t="s">
        <v>11</v>
      </c>
      <c r="D8963" s="5" t="s">
        <v>12</v>
      </c>
      <c r="E8963" s="5" t="s">
        <v>3962</v>
      </c>
    </row>
    <row r="8964" spans="1:5" x14ac:dyDescent="0.25">
      <c r="A8964" s="5">
        <f>8956</f>
      </c>
      <c r="B8964" s="5" t="s">
        <v>8207</v>
      </c>
      <c r="C8964" s="5" t="s">
        <v>11</v>
      </c>
      <c r="D8964" s="5" t="s">
        <v>12</v>
      </c>
      <c r="E8964" s="5" t="s">
        <v>3962</v>
      </c>
    </row>
    <row r="8965" spans="1:5" x14ac:dyDescent="0.25">
      <c r="A8965" s="5">
        <f>8957</f>
      </c>
      <c r="B8965" s="5" t="s">
        <v>8208</v>
      </c>
      <c r="C8965" s="5" t="s">
        <v>11</v>
      </c>
      <c r="D8965" s="5" t="s">
        <v>12</v>
      </c>
      <c r="E8965" s="5" t="s">
        <v>3962</v>
      </c>
    </row>
    <row r="8966" spans="1:5" x14ac:dyDescent="0.25">
      <c r="A8966" s="5">
        <f>8958</f>
      </c>
      <c r="B8966" s="5" t="s">
        <v>8209</v>
      </c>
      <c r="C8966" s="5" t="s">
        <v>11</v>
      </c>
      <c r="D8966" s="5" t="s">
        <v>12</v>
      </c>
      <c r="E8966" s="5" t="s">
        <v>3962</v>
      </c>
    </row>
    <row r="8967" spans="1:5" x14ac:dyDescent="0.25">
      <c r="A8967" s="5">
        <f>8959</f>
      </c>
      <c r="B8967" s="5" t="s">
        <v>8210</v>
      </c>
      <c r="C8967" s="5" t="s">
        <v>11</v>
      </c>
      <c r="D8967" s="5" t="s">
        <v>12</v>
      </c>
      <c r="E8967" s="5" t="s">
        <v>3962</v>
      </c>
    </row>
    <row r="8968" spans="1:5" x14ac:dyDescent="0.25">
      <c r="A8968" s="5">
        <f>8960</f>
      </c>
      <c r="B8968" s="5" t="s">
        <v>8211</v>
      </c>
      <c r="C8968" s="5" t="s">
        <v>11</v>
      </c>
      <c r="D8968" s="5" t="s">
        <v>12</v>
      </c>
      <c r="E8968" s="5" t="s">
        <v>3962</v>
      </c>
    </row>
    <row r="8969" spans="1:5" x14ac:dyDescent="0.25">
      <c r="A8969" s="5">
        <f>8961</f>
      </c>
      <c r="B8969" s="5" t="s">
        <v>8212</v>
      </c>
      <c r="C8969" s="5" t="s">
        <v>11</v>
      </c>
      <c r="D8969" s="5" t="s">
        <v>12</v>
      </c>
      <c r="E8969" s="5" t="s">
        <v>3962</v>
      </c>
    </row>
    <row r="8970" spans="1:5" x14ac:dyDescent="0.25">
      <c r="A8970" s="5">
        <f>8962</f>
      </c>
      <c r="B8970" s="5" t="s">
        <v>8213</v>
      </c>
      <c r="C8970" s="5" t="s">
        <v>11</v>
      </c>
      <c r="D8970" s="5" t="s">
        <v>12</v>
      </c>
      <c r="E8970" s="5" t="s">
        <v>3962</v>
      </c>
    </row>
    <row r="8971" spans="1:5" x14ac:dyDescent="0.25">
      <c r="A8971" s="5">
        <f>8963</f>
      </c>
      <c r="B8971" s="5" t="s">
        <v>8214</v>
      </c>
      <c r="C8971" s="5" t="s">
        <v>11</v>
      </c>
      <c r="D8971" s="5" t="s">
        <v>12</v>
      </c>
      <c r="E8971" s="5" t="s">
        <v>3962</v>
      </c>
    </row>
    <row r="8972" spans="1:5" x14ac:dyDescent="0.25">
      <c r="A8972" s="5">
        <f>8964</f>
      </c>
      <c r="B8972" s="5" t="s">
        <v>8215</v>
      </c>
      <c r="C8972" s="5" t="s">
        <v>11</v>
      </c>
      <c r="D8972" s="5" t="s">
        <v>12</v>
      </c>
      <c r="E8972" s="5" t="s">
        <v>3962</v>
      </c>
    </row>
    <row r="8973" spans="1:5" x14ac:dyDescent="0.25">
      <c r="A8973" s="5">
        <f>8965</f>
      </c>
      <c r="B8973" s="5" t="s">
        <v>8216</v>
      </c>
      <c r="C8973" s="5" t="s">
        <v>11</v>
      </c>
      <c r="D8973" s="5" t="s">
        <v>12</v>
      </c>
      <c r="E8973" s="5" t="s">
        <v>3962</v>
      </c>
    </row>
    <row r="8974" spans="1:5" x14ac:dyDescent="0.25">
      <c r="A8974" s="5">
        <f>8966</f>
      </c>
      <c r="B8974" s="5" t="s">
        <v>8217</v>
      </c>
      <c r="C8974" s="5" t="s">
        <v>11</v>
      </c>
      <c r="D8974" s="5" t="s">
        <v>12</v>
      </c>
      <c r="E8974" s="5" t="s">
        <v>3962</v>
      </c>
    </row>
    <row r="8975" spans="1:5" x14ac:dyDescent="0.25">
      <c r="A8975" s="5">
        <f>8967</f>
      </c>
      <c r="B8975" s="5" t="s">
        <v>8218</v>
      </c>
      <c r="C8975" s="5" t="s">
        <v>11</v>
      </c>
      <c r="D8975" s="5" t="s">
        <v>12</v>
      </c>
      <c r="E8975" s="5" t="s">
        <v>3962</v>
      </c>
    </row>
    <row r="8976" spans="1:5" x14ac:dyDescent="0.25">
      <c r="A8976" s="5">
        <f>8968</f>
      </c>
      <c r="B8976" s="5" t="s">
        <v>8219</v>
      </c>
      <c r="C8976" s="5" t="s">
        <v>11</v>
      </c>
      <c r="D8976" s="5" t="s">
        <v>12</v>
      </c>
      <c r="E8976" s="5" t="s">
        <v>3962</v>
      </c>
    </row>
    <row r="8977" spans="1:5" x14ac:dyDescent="0.25">
      <c r="A8977" s="5">
        <f>8969</f>
      </c>
      <c r="B8977" s="5" t="s">
        <v>8220</v>
      </c>
      <c r="C8977" s="5" t="s">
        <v>11</v>
      </c>
      <c r="D8977" s="5" t="s">
        <v>12</v>
      </c>
      <c r="E8977" s="5" t="s">
        <v>3962</v>
      </c>
    </row>
    <row r="8978" spans="1:5" x14ac:dyDescent="0.25">
      <c r="A8978" s="5">
        <f>8970</f>
      </c>
      <c r="B8978" s="5" t="s">
        <v>8221</v>
      </c>
      <c r="C8978" s="5" t="s">
        <v>11</v>
      </c>
      <c r="D8978" s="5" t="s">
        <v>12</v>
      </c>
      <c r="E8978" s="5" t="s">
        <v>3962</v>
      </c>
    </row>
    <row r="8979" spans="1:5" x14ac:dyDescent="0.25">
      <c r="A8979" s="5">
        <f>8971</f>
      </c>
      <c r="B8979" s="5" t="s">
        <v>8222</v>
      </c>
      <c r="C8979" s="5" t="s">
        <v>11</v>
      </c>
      <c r="D8979" s="5" t="s">
        <v>12</v>
      </c>
      <c r="E8979" s="5" t="s">
        <v>3962</v>
      </c>
    </row>
    <row r="8980" spans="1:5" x14ac:dyDescent="0.25">
      <c r="A8980" s="5">
        <f>8972</f>
      </c>
      <c r="B8980" s="5" t="s">
        <v>8223</v>
      </c>
      <c r="C8980" s="5" t="s">
        <v>11</v>
      </c>
      <c r="D8980" s="5" t="s">
        <v>12</v>
      </c>
      <c r="E8980" s="5" t="s">
        <v>3962</v>
      </c>
    </row>
    <row r="8981" spans="1:5" x14ac:dyDescent="0.25">
      <c r="A8981" s="5">
        <f>8973</f>
      </c>
      <c r="B8981" s="5" t="s">
        <v>8224</v>
      </c>
      <c r="C8981" s="5" t="s">
        <v>11</v>
      </c>
      <c r="D8981" s="5" t="s">
        <v>12</v>
      </c>
      <c r="E8981" s="5" t="s">
        <v>3962</v>
      </c>
    </row>
    <row r="8982" spans="1:5" x14ac:dyDescent="0.25">
      <c r="A8982" s="5">
        <f>8974</f>
      </c>
      <c r="B8982" s="5" t="s">
        <v>8225</v>
      </c>
      <c r="C8982" s="5" t="s">
        <v>11</v>
      </c>
      <c r="D8982" s="5" t="s">
        <v>12</v>
      </c>
      <c r="E8982" s="5" t="s">
        <v>3962</v>
      </c>
    </row>
    <row r="8983" spans="1:5" x14ac:dyDescent="0.25">
      <c r="A8983" s="5">
        <f>8975</f>
      </c>
      <c r="B8983" s="5" t="s">
        <v>8226</v>
      </c>
      <c r="C8983" s="5" t="s">
        <v>11</v>
      </c>
      <c r="D8983" s="5" t="s">
        <v>12</v>
      </c>
      <c r="E8983" s="5" t="s">
        <v>3962</v>
      </c>
    </row>
    <row r="8984" spans="1:5" x14ac:dyDescent="0.25">
      <c r="A8984" s="5">
        <f>8976</f>
      </c>
      <c r="B8984" s="5" t="s">
        <v>8227</v>
      </c>
      <c r="C8984" s="5" t="s">
        <v>11</v>
      </c>
      <c r="D8984" s="5" t="s">
        <v>12</v>
      </c>
      <c r="E8984" s="5" t="s">
        <v>3962</v>
      </c>
    </row>
    <row r="8985" spans="1:5" x14ac:dyDescent="0.25">
      <c r="A8985" s="5">
        <f>8977</f>
      </c>
      <c r="B8985" s="5" t="s">
        <v>8228</v>
      </c>
      <c r="C8985" s="5" t="s">
        <v>11</v>
      </c>
      <c r="D8985" s="5" t="s">
        <v>12</v>
      </c>
      <c r="E8985" s="5" t="s">
        <v>3962</v>
      </c>
    </row>
    <row r="8986" spans="1:5" x14ac:dyDescent="0.25">
      <c r="A8986" s="5">
        <f>8978</f>
      </c>
      <c r="B8986" s="5" t="s">
        <v>8229</v>
      </c>
      <c r="C8986" s="5" t="s">
        <v>11</v>
      </c>
      <c r="D8986" s="5" t="s">
        <v>12</v>
      </c>
      <c r="E8986" s="5" t="s">
        <v>3962</v>
      </c>
    </row>
    <row r="8987" spans="1:5" x14ac:dyDescent="0.25">
      <c r="A8987" s="5">
        <f>8979</f>
      </c>
      <c r="B8987" s="5" t="s">
        <v>8230</v>
      </c>
      <c r="C8987" s="5" t="s">
        <v>11</v>
      </c>
      <c r="D8987" s="5" t="s">
        <v>12</v>
      </c>
      <c r="E8987" s="5" t="s">
        <v>3962</v>
      </c>
    </row>
    <row r="8988" spans="1:5" x14ac:dyDescent="0.25">
      <c r="A8988" s="5">
        <f>8980</f>
      </c>
      <c r="B8988" s="5" t="s">
        <v>8231</v>
      </c>
      <c r="C8988" s="5" t="s">
        <v>11</v>
      </c>
      <c r="D8988" s="5" t="s">
        <v>12</v>
      </c>
      <c r="E8988" s="5" t="s">
        <v>3962</v>
      </c>
    </row>
    <row r="8989" spans="1:5" x14ac:dyDescent="0.25">
      <c r="A8989" s="5">
        <f>8981</f>
      </c>
      <c r="B8989" s="5" t="s">
        <v>8232</v>
      </c>
      <c r="C8989" s="5" t="s">
        <v>11</v>
      </c>
      <c r="D8989" s="5" t="s">
        <v>12</v>
      </c>
      <c r="E8989" s="5" t="s">
        <v>3962</v>
      </c>
    </row>
    <row r="8990" spans="1:5" x14ac:dyDescent="0.25">
      <c r="A8990" s="5">
        <f>8982</f>
      </c>
      <c r="B8990" s="5" t="s">
        <v>8233</v>
      </c>
      <c r="C8990" s="5" t="s">
        <v>11</v>
      </c>
      <c r="D8990" s="5" t="s">
        <v>12</v>
      </c>
      <c r="E8990" s="5" t="s">
        <v>3962</v>
      </c>
    </row>
    <row r="8991" spans="1:5" x14ac:dyDescent="0.25">
      <c r="A8991" s="5">
        <f>8983</f>
      </c>
      <c r="B8991" s="5" t="s">
        <v>8234</v>
      </c>
      <c r="C8991" s="5" t="s">
        <v>11</v>
      </c>
      <c r="D8991" s="5" t="s">
        <v>12</v>
      </c>
      <c r="E8991" s="5" t="s">
        <v>3962</v>
      </c>
    </row>
    <row r="8992" spans="1:5" x14ac:dyDescent="0.25">
      <c r="A8992" s="5">
        <f>8984</f>
      </c>
      <c r="B8992" s="5" t="s">
        <v>8235</v>
      </c>
      <c r="C8992" s="5" t="s">
        <v>11</v>
      </c>
      <c r="D8992" s="5" t="s">
        <v>12</v>
      </c>
      <c r="E8992" s="5" t="s">
        <v>3962</v>
      </c>
    </row>
    <row r="8993" spans="1:5" x14ac:dyDescent="0.25">
      <c r="A8993" s="5">
        <f>8985</f>
      </c>
      <c r="B8993" s="5" t="s">
        <v>8236</v>
      </c>
      <c r="C8993" s="5" t="s">
        <v>11</v>
      </c>
      <c r="D8993" s="5" t="s">
        <v>12</v>
      </c>
      <c r="E8993" s="5" t="s">
        <v>3962</v>
      </c>
    </row>
    <row r="8994" spans="1:5" x14ac:dyDescent="0.25">
      <c r="A8994" s="5">
        <f>8986</f>
      </c>
      <c r="B8994" s="5" t="s">
        <v>8237</v>
      </c>
      <c r="C8994" s="5" t="s">
        <v>11</v>
      </c>
      <c r="D8994" s="5" t="s">
        <v>12</v>
      </c>
      <c r="E8994" s="5" t="s">
        <v>3962</v>
      </c>
    </row>
    <row r="8995" spans="1:5" x14ac:dyDescent="0.25">
      <c r="A8995" s="5">
        <f>8987</f>
      </c>
      <c r="B8995" s="5" t="s">
        <v>8238</v>
      </c>
      <c r="C8995" s="5" t="s">
        <v>11</v>
      </c>
      <c r="D8995" s="5" t="s">
        <v>12</v>
      </c>
      <c r="E8995" s="5" t="s">
        <v>3962</v>
      </c>
    </row>
    <row r="8996" spans="1:5" x14ac:dyDescent="0.25">
      <c r="A8996" s="5">
        <f>8988</f>
      </c>
      <c r="B8996" s="5" t="s">
        <v>8239</v>
      </c>
      <c r="C8996" s="5" t="s">
        <v>11</v>
      </c>
      <c r="D8996" s="5" t="s">
        <v>12</v>
      </c>
      <c r="E8996" s="5" t="s">
        <v>3962</v>
      </c>
    </row>
    <row r="8997" spans="1:5" x14ac:dyDescent="0.25">
      <c r="A8997" s="5">
        <f>8989</f>
      </c>
      <c r="B8997" s="5" t="s">
        <v>8240</v>
      </c>
      <c r="C8997" s="5" t="s">
        <v>11</v>
      </c>
      <c r="D8997" s="5" t="s">
        <v>12</v>
      </c>
      <c r="E8997" s="5" t="s">
        <v>3962</v>
      </c>
    </row>
    <row r="8998" spans="1:5" x14ac:dyDescent="0.25">
      <c r="A8998" s="5">
        <f>8990</f>
      </c>
      <c r="B8998" s="5" t="s">
        <v>8241</v>
      </c>
      <c r="C8998" s="5" t="s">
        <v>11</v>
      </c>
      <c r="D8998" s="5" t="s">
        <v>12</v>
      </c>
      <c r="E8998" s="5" t="s">
        <v>3962</v>
      </c>
    </row>
    <row r="8999" spans="1:5" x14ac:dyDescent="0.25">
      <c r="A8999" s="5">
        <f>8991</f>
      </c>
      <c r="B8999" s="5" t="s">
        <v>8242</v>
      </c>
      <c r="C8999" s="5" t="s">
        <v>11</v>
      </c>
      <c r="D8999" s="5" t="s">
        <v>12</v>
      </c>
      <c r="E8999" s="5" t="s">
        <v>3962</v>
      </c>
    </row>
    <row r="9000" spans="1:5" x14ac:dyDescent="0.25">
      <c r="A9000" s="5">
        <f>8992</f>
      </c>
      <c r="B9000" s="5" t="s">
        <v>8243</v>
      </c>
      <c r="C9000" s="5" t="s">
        <v>11</v>
      </c>
      <c r="D9000" s="5" t="s">
        <v>12</v>
      </c>
      <c r="E9000" s="5" t="s">
        <v>3962</v>
      </c>
    </row>
    <row r="9001" spans="1:5" x14ac:dyDescent="0.25">
      <c r="A9001" s="5">
        <f>8993</f>
      </c>
      <c r="B9001" s="5" t="s">
        <v>8244</v>
      </c>
      <c r="C9001" s="5" t="s">
        <v>11</v>
      </c>
      <c r="D9001" s="5" t="s">
        <v>12</v>
      </c>
      <c r="E9001" s="5" t="s">
        <v>3962</v>
      </c>
    </row>
    <row r="9002" spans="1:5" x14ac:dyDescent="0.25">
      <c r="A9002" s="5">
        <f>8994</f>
      </c>
      <c r="B9002" s="5" t="s">
        <v>8245</v>
      </c>
      <c r="C9002" s="5" t="s">
        <v>11</v>
      </c>
      <c r="D9002" s="5" t="s">
        <v>12</v>
      </c>
      <c r="E9002" s="5" t="s">
        <v>3962</v>
      </c>
    </row>
    <row r="9003" spans="1:5" x14ac:dyDescent="0.25">
      <c r="A9003" s="5">
        <f>8995</f>
      </c>
      <c r="B9003" s="5" t="s">
        <v>8246</v>
      </c>
      <c r="C9003" s="5" t="s">
        <v>11</v>
      </c>
      <c r="D9003" s="5" t="s">
        <v>12</v>
      </c>
      <c r="E9003" s="5" t="s">
        <v>3962</v>
      </c>
    </row>
    <row r="9004" spans="1:5" x14ac:dyDescent="0.25">
      <c r="A9004" s="5">
        <f>8996</f>
      </c>
      <c r="B9004" s="5" t="s">
        <v>8247</v>
      </c>
      <c r="C9004" s="5" t="s">
        <v>11</v>
      </c>
      <c r="D9004" s="5" t="s">
        <v>12</v>
      </c>
      <c r="E9004" s="5" t="s">
        <v>3962</v>
      </c>
    </row>
    <row r="9005" spans="1:5" x14ac:dyDescent="0.25">
      <c r="A9005" s="5">
        <f>8997</f>
      </c>
      <c r="B9005" s="5" t="s">
        <v>8248</v>
      </c>
      <c r="C9005" s="5" t="s">
        <v>11</v>
      </c>
      <c r="D9005" s="5" t="s">
        <v>12</v>
      </c>
      <c r="E9005" s="5" t="s">
        <v>3962</v>
      </c>
    </row>
    <row r="9006" spans="1:5" x14ac:dyDescent="0.25">
      <c r="A9006" s="5">
        <f>8998</f>
      </c>
      <c r="B9006" s="5" t="s">
        <v>8249</v>
      </c>
      <c r="C9006" s="5" t="s">
        <v>11</v>
      </c>
      <c r="D9006" s="5" t="s">
        <v>12</v>
      </c>
      <c r="E9006" s="5" t="s">
        <v>3962</v>
      </c>
    </row>
    <row r="9007" spans="1:5" x14ac:dyDescent="0.25">
      <c r="A9007" s="5">
        <f>8999</f>
      </c>
      <c r="B9007" s="5" t="s">
        <v>8250</v>
      </c>
      <c r="C9007" s="5" t="s">
        <v>11</v>
      </c>
      <c r="D9007" s="5" t="s">
        <v>12</v>
      </c>
      <c r="E9007" s="5" t="s">
        <v>3962</v>
      </c>
    </row>
    <row r="9008" spans="1:5" x14ac:dyDescent="0.25">
      <c r="A9008" s="5">
        <f>9000</f>
      </c>
      <c r="B9008" s="5" t="s">
        <v>8251</v>
      </c>
      <c r="C9008" s="5" t="s">
        <v>11</v>
      </c>
      <c r="D9008" s="5" t="s">
        <v>12</v>
      </c>
      <c r="E9008" s="5" t="s">
        <v>3962</v>
      </c>
    </row>
    <row r="9009" spans="1:5" x14ac:dyDescent="0.25">
      <c r="A9009" s="5">
        <f>9001</f>
      </c>
      <c r="B9009" s="5" t="s">
        <v>8252</v>
      </c>
      <c r="C9009" s="5" t="s">
        <v>11</v>
      </c>
      <c r="D9009" s="5" t="s">
        <v>12</v>
      </c>
      <c r="E9009" s="5" t="s">
        <v>3962</v>
      </c>
    </row>
    <row r="9010" spans="1:5" x14ac:dyDescent="0.25">
      <c r="A9010" s="5">
        <f>9002</f>
      </c>
      <c r="B9010" s="5" t="s">
        <v>8253</v>
      </c>
      <c r="C9010" s="5" t="s">
        <v>11</v>
      </c>
      <c r="D9010" s="5" t="s">
        <v>12</v>
      </c>
      <c r="E9010" s="5" t="s">
        <v>3962</v>
      </c>
    </row>
    <row r="9011" spans="1:5" x14ac:dyDescent="0.25">
      <c r="A9011" s="5">
        <f>9003</f>
      </c>
      <c r="B9011" s="5" t="s">
        <v>8254</v>
      </c>
      <c r="C9011" s="5" t="s">
        <v>11</v>
      </c>
      <c r="D9011" s="5" t="s">
        <v>12</v>
      </c>
      <c r="E9011" s="5" t="s">
        <v>3962</v>
      </c>
    </row>
    <row r="9012" spans="1:5" x14ac:dyDescent="0.25">
      <c r="A9012" s="5">
        <f>9004</f>
      </c>
      <c r="B9012" s="5" t="s">
        <v>8255</v>
      </c>
      <c r="C9012" s="5" t="s">
        <v>11</v>
      </c>
      <c r="D9012" s="5" t="s">
        <v>12</v>
      </c>
      <c r="E9012" s="5" t="s">
        <v>3962</v>
      </c>
    </row>
    <row r="9013" spans="1:5" x14ac:dyDescent="0.25">
      <c r="A9013" s="5">
        <f>9005</f>
      </c>
      <c r="B9013" s="5" t="s">
        <v>8256</v>
      </c>
      <c r="C9013" s="5" t="s">
        <v>11</v>
      </c>
      <c r="D9013" s="5" t="s">
        <v>12</v>
      </c>
      <c r="E9013" s="5" t="s">
        <v>3962</v>
      </c>
    </row>
    <row r="9014" spans="1:5" x14ac:dyDescent="0.25">
      <c r="A9014" s="5">
        <f>9006</f>
      </c>
      <c r="B9014" s="5" t="s">
        <v>8257</v>
      </c>
      <c r="C9014" s="5" t="s">
        <v>11</v>
      </c>
      <c r="D9014" s="5" t="s">
        <v>12</v>
      </c>
      <c r="E9014" s="5" t="s">
        <v>3962</v>
      </c>
    </row>
    <row r="9015" spans="1:5" x14ac:dyDescent="0.25">
      <c r="A9015" s="5">
        <f>9007</f>
      </c>
      <c r="B9015" s="5" t="s">
        <v>8258</v>
      </c>
      <c r="C9015" s="5" t="s">
        <v>11</v>
      </c>
      <c r="D9015" s="5" t="s">
        <v>12</v>
      </c>
      <c r="E9015" s="5" t="s">
        <v>3962</v>
      </c>
    </row>
    <row r="9016" spans="1:5" x14ac:dyDescent="0.25">
      <c r="A9016" s="5">
        <f>9008</f>
      </c>
      <c r="B9016" s="5" t="s">
        <v>8259</v>
      </c>
      <c r="C9016" s="5" t="s">
        <v>11</v>
      </c>
      <c r="D9016" s="5" t="s">
        <v>12</v>
      </c>
      <c r="E9016" s="5" t="s">
        <v>3962</v>
      </c>
    </row>
    <row r="9017" spans="1:5" x14ac:dyDescent="0.25">
      <c r="A9017" s="5">
        <f>9009</f>
      </c>
      <c r="B9017" s="5" t="s">
        <v>8260</v>
      </c>
      <c r="C9017" s="5" t="s">
        <v>11</v>
      </c>
      <c r="D9017" s="5" t="s">
        <v>12</v>
      </c>
      <c r="E9017" s="5" t="s">
        <v>3962</v>
      </c>
    </row>
    <row r="9018" spans="1:5" x14ac:dyDescent="0.25">
      <c r="A9018" s="5">
        <f>9010</f>
      </c>
      <c r="B9018" s="5" t="s">
        <v>8261</v>
      </c>
      <c r="C9018" s="5" t="s">
        <v>11</v>
      </c>
      <c r="D9018" s="5" t="s">
        <v>12</v>
      </c>
      <c r="E9018" s="5" t="s">
        <v>3962</v>
      </c>
    </row>
    <row r="9019" spans="1:5" x14ac:dyDescent="0.25">
      <c r="A9019" s="5">
        <f>9011</f>
      </c>
      <c r="B9019" s="5" t="s">
        <v>8262</v>
      </c>
      <c r="C9019" s="5" t="s">
        <v>11</v>
      </c>
      <c r="D9019" s="5" t="s">
        <v>12</v>
      </c>
      <c r="E9019" s="5" t="s">
        <v>3962</v>
      </c>
    </row>
    <row r="9020" spans="1:5" x14ac:dyDescent="0.25">
      <c r="A9020" s="5">
        <f>9012</f>
      </c>
      <c r="B9020" s="5" t="s">
        <v>8263</v>
      </c>
      <c r="C9020" s="5" t="s">
        <v>11</v>
      </c>
      <c r="D9020" s="5" t="s">
        <v>12</v>
      </c>
      <c r="E9020" s="5" t="s">
        <v>3962</v>
      </c>
    </row>
    <row r="9021" spans="1:5" x14ac:dyDescent="0.25">
      <c r="A9021" s="5">
        <f>9013</f>
      </c>
      <c r="B9021" s="5" t="s">
        <v>8264</v>
      </c>
      <c r="C9021" s="5" t="s">
        <v>11</v>
      </c>
      <c r="D9021" s="5" t="s">
        <v>12</v>
      </c>
      <c r="E9021" s="5" t="s">
        <v>3962</v>
      </c>
    </row>
    <row r="9022" spans="1:5" x14ac:dyDescent="0.25">
      <c r="A9022" s="5">
        <f>9014</f>
      </c>
      <c r="B9022" s="5" t="s">
        <v>8265</v>
      </c>
      <c r="C9022" s="5" t="s">
        <v>11</v>
      </c>
      <c r="D9022" s="5" t="s">
        <v>12</v>
      </c>
      <c r="E9022" s="5" t="s">
        <v>3962</v>
      </c>
    </row>
    <row r="9023" spans="1:5" x14ac:dyDescent="0.25">
      <c r="A9023" s="5">
        <f>9015</f>
      </c>
      <c r="B9023" s="5" t="s">
        <v>8266</v>
      </c>
      <c r="C9023" s="5" t="s">
        <v>11</v>
      </c>
      <c r="D9023" s="5" t="s">
        <v>12</v>
      </c>
      <c r="E9023" s="5" t="s">
        <v>3962</v>
      </c>
    </row>
    <row r="9024" spans="1:5" x14ac:dyDescent="0.25">
      <c r="A9024" s="5">
        <f>9016</f>
      </c>
      <c r="B9024" s="5" t="s">
        <v>8267</v>
      </c>
      <c r="C9024" s="5" t="s">
        <v>11</v>
      </c>
      <c r="D9024" s="5" t="s">
        <v>12</v>
      </c>
      <c r="E9024" s="5" t="s">
        <v>3962</v>
      </c>
    </row>
    <row r="9025" spans="1:5" x14ac:dyDescent="0.25">
      <c r="A9025" s="5">
        <f>9017</f>
      </c>
      <c r="B9025" s="5" t="s">
        <v>8268</v>
      </c>
      <c r="C9025" s="5" t="s">
        <v>11</v>
      </c>
      <c r="D9025" s="5" t="s">
        <v>12</v>
      </c>
      <c r="E9025" s="5" t="s">
        <v>3962</v>
      </c>
    </row>
    <row r="9026" spans="1:5" x14ac:dyDescent="0.25">
      <c r="A9026" s="5">
        <f>9018</f>
      </c>
      <c r="B9026" s="5" t="s">
        <v>8269</v>
      </c>
      <c r="C9026" s="5" t="s">
        <v>11</v>
      </c>
      <c r="D9026" s="5" t="s">
        <v>12</v>
      </c>
      <c r="E9026" s="5" t="s">
        <v>3962</v>
      </c>
    </row>
    <row r="9027" spans="1:5" x14ac:dyDescent="0.25">
      <c r="A9027" s="5">
        <f>9019</f>
      </c>
      <c r="B9027" s="5" t="s">
        <v>8270</v>
      </c>
      <c r="C9027" s="5" t="s">
        <v>11</v>
      </c>
      <c r="D9027" s="5" t="s">
        <v>12</v>
      </c>
      <c r="E9027" s="5" t="s">
        <v>3962</v>
      </c>
    </row>
    <row r="9028" spans="1:5" x14ac:dyDescent="0.25">
      <c r="A9028" s="5">
        <f>9020</f>
      </c>
      <c r="B9028" s="5" t="s">
        <v>8271</v>
      </c>
      <c r="C9028" s="5" t="s">
        <v>11</v>
      </c>
      <c r="D9028" s="5" t="s">
        <v>12</v>
      </c>
      <c r="E9028" s="5" t="s">
        <v>3962</v>
      </c>
    </row>
    <row r="9029" spans="1:5" x14ac:dyDescent="0.25">
      <c r="A9029" s="5">
        <f>9021</f>
      </c>
      <c r="B9029" s="5" t="s">
        <v>8272</v>
      </c>
      <c r="C9029" s="5" t="s">
        <v>11</v>
      </c>
      <c r="D9029" s="5" t="s">
        <v>12</v>
      </c>
      <c r="E9029" s="5" t="s">
        <v>3962</v>
      </c>
    </row>
    <row r="9030" spans="1:5" x14ac:dyDescent="0.25">
      <c r="A9030" s="5">
        <f>9022</f>
      </c>
      <c r="B9030" s="5" t="s">
        <v>8273</v>
      </c>
      <c r="C9030" s="5" t="s">
        <v>11</v>
      </c>
      <c r="D9030" s="5" t="s">
        <v>12</v>
      </c>
      <c r="E9030" s="5" t="s">
        <v>3962</v>
      </c>
    </row>
    <row r="9031" spans="1:5" x14ac:dyDescent="0.25">
      <c r="A9031" s="5">
        <f>9023</f>
      </c>
      <c r="B9031" s="5" t="s">
        <v>8274</v>
      </c>
      <c r="C9031" s="5" t="s">
        <v>11</v>
      </c>
      <c r="D9031" s="5" t="s">
        <v>12</v>
      </c>
      <c r="E9031" s="5" t="s">
        <v>3962</v>
      </c>
    </row>
    <row r="9032" spans="1:5" x14ac:dyDescent="0.25">
      <c r="A9032" s="5">
        <f>9024</f>
      </c>
      <c r="B9032" s="5" t="s">
        <v>8275</v>
      </c>
      <c r="C9032" s="5" t="s">
        <v>11</v>
      </c>
      <c r="D9032" s="5" t="s">
        <v>12</v>
      </c>
      <c r="E9032" s="5" t="s">
        <v>3962</v>
      </c>
    </row>
    <row r="9033" spans="1:5" x14ac:dyDescent="0.25">
      <c r="A9033" s="5">
        <f>9025</f>
      </c>
      <c r="B9033" s="5" t="s">
        <v>8276</v>
      </c>
      <c r="C9033" s="5" t="s">
        <v>11</v>
      </c>
      <c r="D9033" s="5" t="s">
        <v>12</v>
      </c>
      <c r="E9033" s="5" t="s">
        <v>3962</v>
      </c>
    </row>
    <row r="9034" spans="1:5" x14ac:dyDescent="0.25">
      <c r="A9034" s="5">
        <f>9026</f>
      </c>
      <c r="B9034" s="5" t="s">
        <v>8277</v>
      </c>
      <c r="C9034" s="5" t="s">
        <v>11</v>
      </c>
      <c r="D9034" s="5" t="s">
        <v>12</v>
      </c>
      <c r="E9034" s="5" t="s">
        <v>3962</v>
      </c>
    </row>
    <row r="9035" spans="1:5" x14ac:dyDescent="0.25">
      <c r="A9035" s="5">
        <f>9027</f>
      </c>
      <c r="B9035" s="5" t="s">
        <v>8278</v>
      </c>
      <c r="C9035" s="5" t="s">
        <v>11</v>
      </c>
      <c r="D9035" s="5" t="s">
        <v>12</v>
      </c>
      <c r="E9035" s="5" t="s">
        <v>3962</v>
      </c>
    </row>
    <row r="9036" spans="1:5" x14ac:dyDescent="0.25">
      <c r="A9036" s="5">
        <f>9028</f>
      </c>
      <c r="B9036" s="5" t="s">
        <v>8279</v>
      </c>
      <c r="C9036" s="5" t="s">
        <v>11</v>
      </c>
      <c r="D9036" s="5" t="s">
        <v>12</v>
      </c>
      <c r="E9036" s="5" t="s">
        <v>3962</v>
      </c>
    </row>
    <row r="9037" spans="1:5" x14ac:dyDescent="0.25">
      <c r="A9037" s="5">
        <f>9029</f>
      </c>
      <c r="B9037" s="5" t="s">
        <v>8280</v>
      </c>
      <c r="C9037" s="5" t="s">
        <v>11</v>
      </c>
      <c r="D9037" s="5" t="s">
        <v>12</v>
      </c>
      <c r="E9037" s="5" t="s">
        <v>3962</v>
      </c>
    </row>
    <row r="9038" spans="1:5" x14ac:dyDescent="0.25">
      <c r="A9038" s="5">
        <f>9030</f>
      </c>
      <c r="B9038" s="5" t="s">
        <v>8281</v>
      </c>
      <c r="C9038" s="5" t="s">
        <v>11</v>
      </c>
      <c r="D9038" s="5" t="s">
        <v>12</v>
      </c>
      <c r="E9038" s="5" t="s">
        <v>3962</v>
      </c>
    </row>
    <row r="9039" spans="1:5" x14ac:dyDescent="0.25">
      <c r="A9039" s="5">
        <f>9031</f>
      </c>
      <c r="B9039" s="5" t="s">
        <v>8282</v>
      </c>
      <c r="C9039" s="5" t="s">
        <v>11</v>
      </c>
      <c r="D9039" s="5" t="s">
        <v>12</v>
      </c>
      <c r="E9039" s="5" t="s">
        <v>3962</v>
      </c>
    </row>
    <row r="9040" spans="1:5" x14ac:dyDescent="0.25">
      <c r="A9040" s="5">
        <f>9032</f>
      </c>
      <c r="B9040" s="5" t="s">
        <v>8283</v>
      </c>
      <c r="C9040" s="5" t="s">
        <v>11</v>
      </c>
      <c r="D9040" s="5" t="s">
        <v>12</v>
      </c>
      <c r="E9040" s="5" t="s">
        <v>3962</v>
      </c>
    </row>
    <row r="9041" spans="1:5" x14ac:dyDescent="0.25">
      <c r="A9041" s="5">
        <f>9033</f>
      </c>
      <c r="B9041" s="5" t="s">
        <v>8284</v>
      </c>
      <c r="C9041" s="5" t="s">
        <v>11</v>
      </c>
      <c r="D9041" s="5" t="s">
        <v>12</v>
      </c>
      <c r="E9041" s="5" t="s">
        <v>3962</v>
      </c>
    </row>
    <row r="9042" spans="1:5" x14ac:dyDescent="0.25">
      <c r="A9042" s="5">
        <f>9034</f>
      </c>
      <c r="B9042" s="5" t="s">
        <v>8285</v>
      </c>
      <c r="C9042" s="5" t="s">
        <v>11</v>
      </c>
      <c r="D9042" s="5" t="s">
        <v>12</v>
      </c>
      <c r="E9042" s="5" t="s">
        <v>3962</v>
      </c>
    </row>
    <row r="9043" spans="1:5" x14ac:dyDescent="0.25">
      <c r="A9043" s="5">
        <f>9035</f>
      </c>
      <c r="B9043" s="5" t="s">
        <v>8286</v>
      </c>
      <c r="C9043" s="5" t="s">
        <v>11</v>
      </c>
      <c r="D9043" s="5" t="s">
        <v>12</v>
      </c>
      <c r="E9043" s="5" t="s">
        <v>3962</v>
      </c>
    </row>
    <row r="9044" spans="1:5" x14ac:dyDescent="0.25">
      <c r="A9044" s="5">
        <f>9036</f>
      </c>
      <c r="B9044" s="5" t="s">
        <v>8287</v>
      </c>
      <c r="C9044" s="5" t="s">
        <v>11</v>
      </c>
      <c r="D9044" s="5" t="s">
        <v>12</v>
      </c>
      <c r="E9044" s="5" t="s">
        <v>3962</v>
      </c>
    </row>
    <row r="9045" spans="1:5" x14ac:dyDescent="0.25">
      <c r="A9045" s="5">
        <f>9037</f>
      </c>
      <c r="B9045" s="5" t="s">
        <v>8288</v>
      </c>
      <c r="C9045" s="5" t="s">
        <v>11</v>
      </c>
      <c r="D9045" s="5" t="s">
        <v>12</v>
      </c>
      <c r="E9045" s="5" t="s">
        <v>3962</v>
      </c>
    </row>
    <row r="9046" spans="1:5" x14ac:dyDescent="0.25">
      <c r="A9046" s="5">
        <f>9038</f>
      </c>
      <c r="B9046" s="5" t="s">
        <v>8289</v>
      </c>
      <c r="C9046" s="5" t="s">
        <v>11</v>
      </c>
      <c r="D9046" s="5" t="s">
        <v>12</v>
      </c>
      <c r="E9046" s="5" t="s">
        <v>3962</v>
      </c>
    </row>
    <row r="9047" spans="1:5" x14ac:dyDescent="0.25">
      <c r="A9047" s="5">
        <f>9039</f>
      </c>
      <c r="B9047" s="5" t="s">
        <v>8290</v>
      </c>
      <c r="C9047" s="5" t="s">
        <v>11</v>
      </c>
      <c r="D9047" s="5" t="s">
        <v>12</v>
      </c>
      <c r="E9047" s="5" t="s">
        <v>3962</v>
      </c>
    </row>
    <row r="9048" spans="1:5" x14ac:dyDescent="0.25">
      <c r="A9048" s="5">
        <f>9040</f>
      </c>
      <c r="B9048" s="5" t="s">
        <v>8291</v>
      </c>
      <c r="C9048" s="5" t="s">
        <v>11</v>
      </c>
      <c r="D9048" s="5" t="s">
        <v>12</v>
      </c>
      <c r="E9048" s="5" t="s">
        <v>3962</v>
      </c>
    </row>
    <row r="9049" spans="1:5" x14ac:dyDescent="0.25">
      <c r="A9049" s="5">
        <f>9041</f>
      </c>
      <c r="B9049" s="5" t="s">
        <v>8292</v>
      </c>
      <c r="C9049" s="5" t="s">
        <v>11</v>
      </c>
      <c r="D9049" s="5" t="s">
        <v>12</v>
      </c>
      <c r="E9049" s="5" t="s">
        <v>3962</v>
      </c>
    </row>
    <row r="9050" spans="1:5" x14ac:dyDescent="0.25">
      <c r="A9050" s="5">
        <f>9042</f>
      </c>
      <c r="B9050" s="5" t="s">
        <v>8293</v>
      </c>
      <c r="C9050" s="5" t="s">
        <v>11</v>
      </c>
      <c r="D9050" s="5" t="s">
        <v>12</v>
      </c>
      <c r="E9050" s="5" t="s">
        <v>3962</v>
      </c>
    </row>
    <row r="9051" spans="1:5" x14ac:dyDescent="0.25">
      <c r="A9051" s="5">
        <f>9043</f>
      </c>
      <c r="B9051" s="5" t="s">
        <v>8294</v>
      </c>
      <c r="C9051" s="5" t="s">
        <v>11</v>
      </c>
      <c r="D9051" s="5" t="s">
        <v>12</v>
      </c>
      <c r="E9051" s="5" t="s">
        <v>3962</v>
      </c>
    </row>
    <row r="9052" spans="1:5" x14ac:dyDescent="0.25">
      <c r="A9052" s="5">
        <f>9044</f>
      </c>
      <c r="B9052" s="5" t="s">
        <v>8295</v>
      </c>
      <c r="C9052" s="5" t="s">
        <v>11</v>
      </c>
      <c r="D9052" s="5" t="s">
        <v>12</v>
      </c>
      <c r="E9052" s="5" t="s">
        <v>3962</v>
      </c>
    </row>
    <row r="9053" spans="1:5" x14ac:dyDescent="0.25">
      <c r="A9053" s="5">
        <f>9045</f>
      </c>
      <c r="B9053" s="5" t="s">
        <v>8296</v>
      </c>
      <c r="C9053" s="5" t="s">
        <v>11</v>
      </c>
      <c r="D9053" s="5" t="s">
        <v>12</v>
      </c>
      <c r="E9053" s="5" t="s">
        <v>3962</v>
      </c>
    </row>
    <row r="9054" spans="1:5" x14ac:dyDescent="0.25">
      <c r="A9054" s="5">
        <f>9046</f>
      </c>
      <c r="B9054" s="5" t="s">
        <v>8297</v>
      </c>
      <c r="C9054" s="5" t="s">
        <v>11</v>
      </c>
      <c r="D9054" s="5" t="s">
        <v>12</v>
      </c>
      <c r="E9054" s="5" t="s">
        <v>3962</v>
      </c>
    </row>
    <row r="9055" spans="1:5" x14ac:dyDescent="0.25">
      <c r="A9055" s="5">
        <f>9047</f>
      </c>
      <c r="B9055" s="5" t="s">
        <v>8298</v>
      </c>
      <c r="C9055" s="5" t="s">
        <v>11</v>
      </c>
      <c r="D9055" s="5" t="s">
        <v>12</v>
      </c>
      <c r="E9055" s="5" t="s">
        <v>3962</v>
      </c>
    </row>
    <row r="9056" spans="1:5" x14ac:dyDescent="0.25">
      <c r="A9056" s="5">
        <f>9048</f>
      </c>
      <c r="B9056" s="5" t="s">
        <v>8299</v>
      </c>
      <c r="C9056" s="5" t="s">
        <v>11</v>
      </c>
      <c r="D9056" s="5" t="s">
        <v>12</v>
      </c>
      <c r="E9056" s="5" t="s">
        <v>3962</v>
      </c>
    </row>
    <row r="9057" spans="1:5" x14ac:dyDescent="0.25">
      <c r="A9057" s="5">
        <f>9049</f>
      </c>
      <c r="B9057" s="5" t="s">
        <v>8300</v>
      </c>
      <c r="C9057" s="5" t="s">
        <v>11</v>
      </c>
      <c r="D9057" s="5" t="s">
        <v>12</v>
      </c>
      <c r="E9057" s="5" t="s">
        <v>3962</v>
      </c>
    </row>
    <row r="9058" spans="1:5" x14ac:dyDescent="0.25">
      <c r="A9058" s="5">
        <f>9050</f>
      </c>
      <c r="B9058" s="5" t="s">
        <v>8301</v>
      </c>
      <c r="C9058" s="5" t="s">
        <v>11</v>
      </c>
      <c r="D9058" s="5" t="s">
        <v>12</v>
      </c>
      <c r="E9058" s="5" t="s">
        <v>3962</v>
      </c>
    </row>
    <row r="9059" spans="1:5" x14ac:dyDescent="0.25">
      <c r="A9059" s="5">
        <f>9051</f>
      </c>
      <c r="B9059" s="5" t="s">
        <v>8302</v>
      </c>
      <c r="C9059" s="5" t="s">
        <v>11</v>
      </c>
      <c r="D9059" s="5" t="s">
        <v>12</v>
      </c>
      <c r="E9059" s="5" t="s">
        <v>3962</v>
      </c>
    </row>
    <row r="9060" spans="1:5" x14ac:dyDescent="0.25">
      <c r="A9060" s="5">
        <f>9052</f>
      </c>
      <c r="B9060" s="5" t="s">
        <v>8303</v>
      </c>
      <c r="C9060" s="5" t="s">
        <v>11</v>
      </c>
      <c r="D9060" s="5" t="s">
        <v>12</v>
      </c>
      <c r="E9060" s="5" t="s">
        <v>3962</v>
      </c>
    </row>
    <row r="9061" spans="1:5" x14ac:dyDescent="0.25">
      <c r="A9061" s="5">
        <f>9053</f>
      </c>
      <c r="B9061" s="5" t="s">
        <v>8304</v>
      </c>
      <c r="C9061" s="5" t="s">
        <v>11</v>
      </c>
      <c r="D9061" s="5" t="s">
        <v>12</v>
      </c>
      <c r="E9061" s="5" t="s">
        <v>3962</v>
      </c>
    </row>
    <row r="9062" spans="1:5" x14ac:dyDescent="0.25">
      <c r="A9062" s="5">
        <f>9054</f>
      </c>
      <c r="B9062" s="5" t="s">
        <v>8305</v>
      </c>
      <c r="C9062" s="5" t="s">
        <v>11</v>
      </c>
      <c r="D9062" s="5" t="s">
        <v>12</v>
      </c>
      <c r="E9062" s="5" t="s">
        <v>3962</v>
      </c>
    </row>
    <row r="9063" spans="1:5" x14ac:dyDescent="0.25">
      <c r="A9063" s="5">
        <f>9055</f>
      </c>
      <c r="B9063" s="5" t="s">
        <v>8306</v>
      </c>
      <c r="C9063" s="5" t="s">
        <v>11</v>
      </c>
      <c r="D9063" s="5" t="s">
        <v>12</v>
      </c>
      <c r="E9063" s="5" t="s">
        <v>3962</v>
      </c>
    </row>
    <row r="9064" spans="1:5" x14ac:dyDescent="0.25">
      <c r="A9064" s="5">
        <f>9056</f>
      </c>
      <c r="B9064" s="5" t="s">
        <v>8307</v>
      </c>
      <c r="C9064" s="5" t="s">
        <v>11</v>
      </c>
      <c r="D9064" s="5" t="s">
        <v>12</v>
      </c>
      <c r="E9064" s="5" t="s">
        <v>3962</v>
      </c>
    </row>
    <row r="9065" spans="1:5" x14ac:dyDescent="0.25">
      <c r="A9065" s="5">
        <f>9057</f>
      </c>
      <c r="B9065" s="5" t="s">
        <v>8308</v>
      </c>
      <c r="C9065" s="5" t="s">
        <v>11</v>
      </c>
      <c r="D9065" s="5" t="s">
        <v>12</v>
      </c>
      <c r="E9065" s="5" t="s">
        <v>3962</v>
      </c>
    </row>
    <row r="9066" spans="1:5" x14ac:dyDescent="0.25">
      <c r="A9066" s="5">
        <f>9058</f>
      </c>
      <c r="B9066" s="5" t="s">
        <v>8309</v>
      </c>
      <c r="C9066" s="5" t="s">
        <v>11</v>
      </c>
      <c r="D9066" s="5" t="s">
        <v>12</v>
      </c>
      <c r="E9066" s="5" t="s">
        <v>3962</v>
      </c>
    </row>
    <row r="9067" spans="1:5" x14ac:dyDescent="0.25">
      <c r="A9067" s="5">
        <f>9059</f>
      </c>
      <c r="B9067" s="5" t="s">
        <v>8310</v>
      </c>
      <c r="C9067" s="5" t="s">
        <v>11</v>
      </c>
      <c r="D9067" s="5" t="s">
        <v>12</v>
      </c>
      <c r="E9067" s="5" t="s">
        <v>3962</v>
      </c>
    </row>
    <row r="9068" spans="1:5" x14ac:dyDescent="0.25">
      <c r="A9068" s="5">
        <f>9060</f>
      </c>
      <c r="B9068" s="5" t="s">
        <v>8311</v>
      </c>
      <c r="C9068" s="5" t="s">
        <v>11</v>
      </c>
      <c r="D9068" s="5" t="s">
        <v>12</v>
      </c>
      <c r="E9068" s="5" t="s">
        <v>3962</v>
      </c>
    </row>
    <row r="9069" spans="1:5" x14ac:dyDescent="0.25">
      <c r="A9069" s="5">
        <f>9061</f>
      </c>
      <c r="B9069" s="5" t="s">
        <v>8312</v>
      </c>
      <c r="C9069" s="5" t="s">
        <v>11</v>
      </c>
      <c r="D9069" s="5" t="s">
        <v>12</v>
      </c>
      <c r="E9069" s="5" t="s">
        <v>3962</v>
      </c>
    </row>
    <row r="9070" spans="1:5" x14ac:dyDescent="0.25">
      <c r="A9070" s="5">
        <f>9062</f>
      </c>
      <c r="B9070" s="5" t="s">
        <v>8313</v>
      </c>
      <c r="C9070" s="5" t="s">
        <v>11</v>
      </c>
      <c r="D9070" s="5" t="s">
        <v>12</v>
      </c>
      <c r="E9070" s="5" t="s">
        <v>3962</v>
      </c>
    </row>
    <row r="9071" spans="1:5" x14ac:dyDescent="0.25">
      <c r="A9071" s="5">
        <f>9063</f>
      </c>
      <c r="B9071" s="5" t="s">
        <v>8314</v>
      </c>
      <c r="C9071" s="5" t="s">
        <v>11</v>
      </c>
      <c r="D9071" s="5" t="s">
        <v>12</v>
      </c>
      <c r="E9071" s="5" t="s">
        <v>3962</v>
      </c>
    </row>
    <row r="9072" spans="1:5" x14ac:dyDescent="0.25">
      <c r="A9072" s="5">
        <f>9064</f>
      </c>
      <c r="B9072" s="5" t="s">
        <v>8315</v>
      </c>
      <c r="C9072" s="5" t="s">
        <v>11</v>
      </c>
      <c r="D9072" s="5" t="s">
        <v>12</v>
      </c>
      <c r="E9072" s="5" t="s">
        <v>3962</v>
      </c>
    </row>
    <row r="9073" spans="1:5" x14ac:dyDescent="0.25">
      <c r="A9073" s="5">
        <f>9065</f>
      </c>
      <c r="B9073" s="5" t="s">
        <v>8316</v>
      </c>
      <c r="C9073" s="5" t="s">
        <v>11</v>
      </c>
      <c r="D9073" s="5" t="s">
        <v>12</v>
      </c>
      <c r="E9073" s="5" t="s">
        <v>3962</v>
      </c>
    </row>
    <row r="9074" spans="1:5" x14ac:dyDescent="0.25">
      <c r="A9074" s="5">
        <f>9066</f>
      </c>
      <c r="B9074" s="5" t="s">
        <v>8317</v>
      </c>
      <c r="C9074" s="5" t="s">
        <v>11</v>
      </c>
      <c r="D9074" s="5" t="s">
        <v>12</v>
      </c>
      <c r="E9074" s="5" t="s">
        <v>3962</v>
      </c>
    </row>
    <row r="9075" spans="1:5" x14ac:dyDescent="0.25">
      <c r="A9075" s="5">
        <f>9067</f>
      </c>
      <c r="B9075" s="5" t="s">
        <v>8318</v>
      </c>
      <c r="C9075" s="5" t="s">
        <v>11</v>
      </c>
      <c r="D9075" s="5" t="s">
        <v>12</v>
      </c>
      <c r="E9075" s="5" t="s">
        <v>3962</v>
      </c>
    </row>
    <row r="9076" spans="1:5" x14ac:dyDescent="0.25">
      <c r="A9076" s="5">
        <f>9068</f>
      </c>
      <c r="B9076" s="5" t="s">
        <v>8319</v>
      </c>
      <c r="C9076" s="5" t="s">
        <v>11</v>
      </c>
      <c r="D9076" s="5" t="s">
        <v>12</v>
      </c>
      <c r="E9076" s="5" t="s">
        <v>3962</v>
      </c>
    </row>
    <row r="9077" spans="1:5" x14ac:dyDescent="0.25">
      <c r="A9077" s="5">
        <f>9069</f>
      </c>
      <c r="B9077" s="5" t="s">
        <v>8320</v>
      </c>
      <c r="C9077" s="5" t="s">
        <v>11</v>
      </c>
      <c r="D9077" s="5" t="s">
        <v>12</v>
      </c>
      <c r="E9077" s="5" t="s">
        <v>3962</v>
      </c>
    </row>
    <row r="9078" spans="1:5" x14ac:dyDescent="0.25">
      <c r="A9078" s="5">
        <f>9070</f>
      </c>
      <c r="B9078" s="5" t="s">
        <v>8321</v>
      </c>
      <c r="C9078" s="5" t="s">
        <v>11</v>
      </c>
      <c r="D9078" s="5" t="s">
        <v>12</v>
      </c>
      <c r="E9078" s="5" t="s">
        <v>3962</v>
      </c>
    </row>
    <row r="9079" spans="1:5" x14ac:dyDescent="0.25">
      <c r="A9079" s="5">
        <f>9071</f>
      </c>
      <c r="B9079" s="5" t="s">
        <v>8322</v>
      </c>
      <c r="C9079" s="5" t="s">
        <v>11</v>
      </c>
      <c r="D9079" s="5" t="s">
        <v>12</v>
      </c>
      <c r="E9079" s="5" t="s">
        <v>3962</v>
      </c>
    </row>
    <row r="9080" spans="1:5" x14ac:dyDescent="0.25">
      <c r="A9080" s="5">
        <f>9072</f>
      </c>
      <c r="B9080" s="5" t="s">
        <v>8323</v>
      </c>
      <c r="C9080" s="5" t="s">
        <v>11</v>
      </c>
      <c r="D9080" s="5" t="s">
        <v>12</v>
      </c>
      <c r="E9080" s="5" t="s">
        <v>3962</v>
      </c>
    </row>
    <row r="9081" spans="1:5" x14ac:dyDescent="0.25">
      <c r="A9081" s="5">
        <f>9073</f>
      </c>
      <c r="B9081" s="5" t="s">
        <v>8324</v>
      </c>
      <c r="C9081" s="5" t="s">
        <v>11</v>
      </c>
      <c r="D9081" s="5" t="s">
        <v>12</v>
      </c>
      <c r="E9081" s="5" t="s">
        <v>3962</v>
      </c>
    </row>
    <row r="9082" spans="1:5" x14ac:dyDescent="0.25">
      <c r="A9082" s="5">
        <f>9074</f>
      </c>
      <c r="B9082" s="5" t="s">
        <v>8325</v>
      </c>
      <c r="C9082" s="5" t="s">
        <v>11</v>
      </c>
      <c r="D9082" s="5" t="s">
        <v>12</v>
      </c>
      <c r="E9082" s="5" t="s">
        <v>3962</v>
      </c>
    </row>
    <row r="9083" spans="1:5" x14ac:dyDescent="0.25">
      <c r="A9083" s="5">
        <f>9075</f>
      </c>
      <c r="B9083" s="5" t="s">
        <v>8326</v>
      </c>
      <c r="C9083" s="5" t="s">
        <v>11</v>
      </c>
      <c r="D9083" s="5" t="s">
        <v>12</v>
      </c>
      <c r="E9083" s="5" t="s">
        <v>3962</v>
      </c>
    </row>
    <row r="9084" spans="1:5" x14ac:dyDescent="0.25">
      <c r="A9084" s="5">
        <f>9076</f>
      </c>
      <c r="B9084" s="5" t="s">
        <v>8327</v>
      </c>
      <c r="C9084" s="5" t="s">
        <v>11</v>
      </c>
      <c r="D9084" s="5" t="s">
        <v>12</v>
      </c>
      <c r="E9084" s="5" t="s">
        <v>3962</v>
      </c>
    </row>
    <row r="9085" spans="1:5" x14ac:dyDescent="0.25">
      <c r="A9085" s="5">
        <f>9077</f>
      </c>
      <c r="B9085" s="5" t="s">
        <v>8328</v>
      </c>
      <c r="C9085" s="5" t="s">
        <v>11</v>
      </c>
      <c r="D9085" s="5" t="s">
        <v>12</v>
      </c>
      <c r="E9085" s="5" t="s">
        <v>3962</v>
      </c>
    </row>
    <row r="9086" spans="1:5" x14ac:dyDescent="0.25">
      <c r="A9086" s="5">
        <f>9078</f>
      </c>
      <c r="B9086" s="5" t="s">
        <v>8329</v>
      </c>
      <c r="C9086" s="5" t="s">
        <v>11</v>
      </c>
      <c r="D9086" s="5" t="s">
        <v>12</v>
      </c>
      <c r="E9086" s="5" t="s">
        <v>3962</v>
      </c>
    </row>
    <row r="9087" spans="1:5" x14ac:dyDescent="0.25">
      <c r="A9087" s="5">
        <f>9079</f>
      </c>
      <c r="B9087" s="5" t="s">
        <v>8330</v>
      </c>
      <c r="C9087" s="5" t="s">
        <v>11</v>
      </c>
      <c r="D9087" s="5" t="s">
        <v>12</v>
      </c>
      <c r="E9087" s="5" t="s">
        <v>3962</v>
      </c>
    </row>
    <row r="9088" spans="1:5" x14ac:dyDescent="0.25">
      <c r="A9088" s="5">
        <f>9080</f>
      </c>
      <c r="B9088" s="5" t="s">
        <v>8331</v>
      </c>
      <c r="C9088" s="5" t="s">
        <v>11</v>
      </c>
      <c r="D9088" s="5" t="s">
        <v>12</v>
      </c>
      <c r="E9088" s="5" t="s">
        <v>3962</v>
      </c>
    </row>
    <row r="9089" spans="1:5" x14ac:dyDescent="0.25">
      <c r="A9089" s="5">
        <f>9081</f>
      </c>
      <c r="B9089" s="5" t="s">
        <v>8332</v>
      </c>
      <c r="C9089" s="5" t="s">
        <v>11</v>
      </c>
      <c r="D9089" s="5" t="s">
        <v>12</v>
      </c>
      <c r="E9089" s="5" t="s">
        <v>3962</v>
      </c>
    </row>
    <row r="9090" spans="1:5" x14ac:dyDescent="0.25">
      <c r="A9090" s="5">
        <f>9082</f>
      </c>
      <c r="B9090" s="5" t="s">
        <v>8333</v>
      </c>
      <c r="C9090" s="5" t="s">
        <v>11</v>
      </c>
      <c r="D9090" s="5" t="s">
        <v>12</v>
      </c>
      <c r="E9090" s="5" t="s">
        <v>3962</v>
      </c>
    </row>
    <row r="9091" spans="1:5" x14ac:dyDescent="0.25">
      <c r="A9091" s="5">
        <f>9083</f>
      </c>
      <c r="B9091" s="5" t="s">
        <v>8334</v>
      </c>
      <c r="C9091" s="5" t="s">
        <v>11</v>
      </c>
      <c r="D9091" s="5" t="s">
        <v>12</v>
      </c>
      <c r="E9091" s="5" t="s">
        <v>3962</v>
      </c>
    </row>
    <row r="9092" spans="1:5" x14ac:dyDescent="0.25">
      <c r="A9092" s="5">
        <f>9084</f>
      </c>
      <c r="B9092" s="5" t="s">
        <v>8335</v>
      </c>
      <c r="C9092" s="5" t="s">
        <v>11</v>
      </c>
      <c r="D9092" s="5" t="s">
        <v>12</v>
      </c>
      <c r="E9092" s="5" t="s">
        <v>3962</v>
      </c>
    </row>
    <row r="9093" spans="1:5" x14ac:dyDescent="0.25">
      <c r="A9093" s="5">
        <f>9085</f>
      </c>
      <c r="B9093" s="5" t="s">
        <v>8336</v>
      </c>
      <c r="C9093" s="5" t="s">
        <v>11</v>
      </c>
      <c r="D9093" s="5" t="s">
        <v>12</v>
      </c>
      <c r="E9093" s="5" t="s">
        <v>3962</v>
      </c>
    </row>
    <row r="9094" spans="1:5" x14ac:dyDescent="0.25">
      <c r="A9094" s="5">
        <f>9086</f>
      </c>
      <c r="B9094" s="5" t="s">
        <v>8337</v>
      </c>
      <c r="C9094" s="5" t="s">
        <v>11</v>
      </c>
      <c r="D9094" s="5" t="s">
        <v>12</v>
      </c>
      <c r="E9094" s="5" t="s">
        <v>3962</v>
      </c>
    </row>
    <row r="9095" spans="1:5" x14ac:dyDescent="0.25">
      <c r="A9095" s="5">
        <f>9087</f>
      </c>
      <c r="B9095" s="5" t="s">
        <v>8338</v>
      </c>
      <c r="C9095" s="5" t="s">
        <v>11</v>
      </c>
      <c r="D9095" s="5" t="s">
        <v>12</v>
      </c>
      <c r="E9095" s="5" t="s">
        <v>3962</v>
      </c>
    </row>
    <row r="9096" spans="1:5" x14ac:dyDescent="0.25">
      <c r="A9096" s="5">
        <f>9088</f>
      </c>
      <c r="B9096" s="5" t="s">
        <v>8339</v>
      </c>
      <c r="C9096" s="5" t="s">
        <v>11</v>
      </c>
      <c r="D9096" s="5" t="s">
        <v>12</v>
      </c>
      <c r="E9096" s="5" t="s">
        <v>3962</v>
      </c>
    </row>
    <row r="9097" spans="1:5" x14ac:dyDescent="0.25">
      <c r="A9097" s="5">
        <f>9089</f>
      </c>
      <c r="B9097" s="5" t="s">
        <v>8340</v>
      </c>
      <c r="C9097" s="5" t="s">
        <v>11</v>
      </c>
      <c r="D9097" s="5" t="s">
        <v>12</v>
      </c>
      <c r="E9097" s="5" t="s">
        <v>3962</v>
      </c>
    </row>
    <row r="9098" spans="1:5" x14ac:dyDescent="0.25">
      <c r="A9098" s="5">
        <f>9090</f>
      </c>
      <c r="B9098" s="5" t="s">
        <v>8341</v>
      </c>
      <c r="C9098" s="5" t="s">
        <v>11</v>
      </c>
      <c r="D9098" s="5" t="s">
        <v>12</v>
      </c>
      <c r="E9098" s="5" t="s">
        <v>3962</v>
      </c>
    </row>
    <row r="9099" spans="1:5" x14ac:dyDescent="0.25">
      <c r="A9099" s="5">
        <f>9091</f>
      </c>
      <c r="B9099" s="5" t="s">
        <v>8342</v>
      </c>
      <c r="C9099" s="5" t="s">
        <v>11</v>
      </c>
      <c r="D9099" s="5" t="s">
        <v>12</v>
      </c>
      <c r="E9099" s="5" t="s">
        <v>3962</v>
      </c>
    </row>
    <row r="9100" spans="1:5" x14ac:dyDescent="0.25">
      <c r="A9100" s="5">
        <f>9092</f>
      </c>
      <c r="B9100" s="5" t="s">
        <v>8343</v>
      </c>
      <c r="C9100" s="5" t="s">
        <v>11</v>
      </c>
      <c r="D9100" s="5" t="s">
        <v>12</v>
      </c>
      <c r="E9100" s="5" t="s">
        <v>3962</v>
      </c>
    </row>
    <row r="9101" spans="1:5" x14ac:dyDescent="0.25">
      <c r="A9101" s="5">
        <f>9093</f>
      </c>
      <c r="B9101" s="5" t="s">
        <v>8344</v>
      </c>
      <c r="C9101" s="5" t="s">
        <v>11</v>
      </c>
      <c r="D9101" s="5" t="s">
        <v>12</v>
      </c>
      <c r="E9101" s="5" t="s">
        <v>3962</v>
      </c>
    </row>
    <row r="9102" spans="1:5" x14ac:dyDescent="0.25">
      <c r="A9102" s="5">
        <f>9094</f>
      </c>
      <c r="B9102" s="5" t="s">
        <v>8345</v>
      </c>
      <c r="C9102" s="5" t="s">
        <v>11</v>
      </c>
      <c r="D9102" s="5" t="s">
        <v>12</v>
      </c>
      <c r="E9102" s="5" t="s">
        <v>3962</v>
      </c>
    </row>
    <row r="9103" spans="1:5" x14ac:dyDescent="0.25">
      <c r="A9103" s="5">
        <f>9095</f>
      </c>
      <c r="B9103" s="5" t="s">
        <v>8346</v>
      </c>
      <c r="C9103" s="5" t="s">
        <v>11</v>
      </c>
      <c r="D9103" s="5" t="s">
        <v>12</v>
      </c>
      <c r="E9103" s="5" t="s">
        <v>3962</v>
      </c>
    </row>
    <row r="9104" spans="1:5" x14ac:dyDescent="0.25">
      <c r="A9104" s="5">
        <f>9096</f>
      </c>
      <c r="B9104" s="5" t="s">
        <v>8347</v>
      </c>
      <c r="C9104" s="5" t="s">
        <v>11</v>
      </c>
      <c r="D9104" s="5" t="s">
        <v>12</v>
      </c>
      <c r="E9104" s="5" t="s">
        <v>3962</v>
      </c>
    </row>
    <row r="9105" spans="1:5" x14ac:dyDescent="0.25">
      <c r="A9105" s="5">
        <f>9097</f>
      </c>
      <c r="B9105" s="5" t="s">
        <v>8348</v>
      </c>
      <c r="C9105" s="5" t="s">
        <v>11</v>
      </c>
      <c r="D9105" s="5" t="s">
        <v>12</v>
      </c>
      <c r="E9105" s="5" t="s">
        <v>3962</v>
      </c>
    </row>
    <row r="9106" spans="1:5" x14ac:dyDescent="0.25">
      <c r="A9106" s="5">
        <f>9098</f>
      </c>
      <c r="B9106" s="5" t="s">
        <v>8349</v>
      </c>
      <c r="C9106" s="5" t="s">
        <v>11</v>
      </c>
      <c r="D9106" s="5" t="s">
        <v>12</v>
      </c>
      <c r="E9106" s="5" t="s">
        <v>3962</v>
      </c>
    </row>
    <row r="9107" spans="1:5" x14ac:dyDescent="0.25">
      <c r="A9107" s="5">
        <f>9099</f>
      </c>
      <c r="B9107" s="5" t="s">
        <v>8350</v>
      </c>
      <c r="C9107" s="5" t="s">
        <v>11</v>
      </c>
      <c r="D9107" s="5" t="s">
        <v>12</v>
      </c>
      <c r="E9107" s="5" t="s">
        <v>3962</v>
      </c>
    </row>
    <row r="9108" spans="1:5" x14ac:dyDescent="0.25">
      <c r="A9108" s="5">
        <f>9100</f>
      </c>
      <c r="B9108" s="5" t="s">
        <v>8351</v>
      </c>
      <c r="C9108" s="5" t="s">
        <v>11</v>
      </c>
      <c r="D9108" s="5" t="s">
        <v>12</v>
      </c>
      <c r="E9108" s="5" t="s">
        <v>3962</v>
      </c>
    </row>
    <row r="9109" spans="1:5" x14ac:dyDescent="0.25">
      <c r="A9109" s="5">
        <f>9101</f>
      </c>
      <c r="B9109" s="5" t="s">
        <v>8352</v>
      </c>
      <c r="C9109" s="5" t="s">
        <v>11</v>
      </c>
      <c r="D9109" s="5" t="s">
        <v>12</v>
      </c>
      <c r="E9109" s="5" t="s">
        <v>3962</v>
      </c>
    </row>
    <row r="9110" spans="1:5" x14ac:dyDescent="0.25">
      <c r="A9110" s="5">
        <f>9102</f>
      </c>
      <c r="B9110" s="5" t="s">
        <v>8353</v>
      </c>
      <c r="C9110" s="5" t="s">
        <v>11</v>
      </c>
      <c r="D9110" s="5" t="s">
        <v>12</v>
      </c>
      <c r="E9110" s="5" t="s">
        <v>3962</v>
      </c>
    </row>
    <row r="9111" spans="1:5" x14ac:dyDescent="0.25">
      <c r="A9111" s="5">
        <f>9103</f>
      </c>
      <c r="B9111" s="5" t="s">
        <v>8354</v>
      </c>
      <c r="C9111" s="5" t="s">
        <v>11</v>
      </c>
      <c r="D9111" s="5" t="s">
        <v>12</v>
      </c>
      <c r="E9111" s="5" t="s">
        <v>3962</v>
      </c>
    </row>
    <row r="9112" spans="1:5" x14ac:dyDescent="0.25">
      <c r="A9112" s="5">
        <f>9104</f>
      </c>
      <c r="B9112" s="5" t="s">
        <v>8355</v>
      </c>
      <c r="C9112" s="5" t="s">
        <v>11</v>
      </c>
      <c r="D9112" s="5" t="s">
        <v>12</v>
      </c>
      <c r="E9112" s="5" t="s">
        <v>3962</v>
      </c>
    </row>
    <row r="9113" spans="1:5" x14ac:dyDescent="0.25">
      <c r="A9113" s="5">
        <f>9105</f>
      </c>
      <c r="B9113" s="5" t="s">
        <v>8356</v>
      </c>
      <c r="C9113" s="5" t="s">
        <v>11</v>
      </c>
      <c r="D9113" s="5" t="s">
        <v>12</v>
      </c>
      <c r="E9113" s="5" t="s">
        <v>3962</v>
      </c>
    </row>
    <row r="9114" spans="1:5" x14ac:dyDescent="0.25">
      <c r="A9114" s="5">
        <f>9106</f>
      </c>
      <c r="B9114" s="5" t="s">
        <v>8357</v>
      </c>
      <c r="C9114" s="5" t="s">
        <v>11</v>
      </c>
      <c r="D9114" s="5" t="s">
        <v>12</v>
      </c>
      <c r="E9114" s="5" t="s">
        <v>3962</v>
      </c>
    </row>
    <row r="9115" spans="1:5" x14ac:dyDescent="0.25">
      <c r="A9115" s="5">
        <f>9107</f>
      </c>
      <c r="B9115" s="5" t="s">
        <v>8358</v>
      </c>
      <c r="C9115" s="5" t="s">
        <v>11</v>
      </c>
      <c r="D9115" s="5" t="s">
        <v>12</v>
      </c>
      <c r="E9115" s="5" t="s">
        <v>3962</v>
      </c>
    </row>
    <row r="9116" spans="1:5" x14ac:dyDescent="0.25">
      <c r="A9116" s="5">
        <f>9108</f>
      </c>
      <c r="B9116" s="5" t="s">
        <v>8359</v>
      </c>
      <c r="C9116" s="5" t="s">
        <v>11</v>
      </c>
      <c r="D9116" s="5" t="s">
        <v>12</v>
      </c>
      <c r="E9116" s="5" t="s">
        <v>3962</v>
      </c>
    </row>
    <row r="9117" spans="1:5" x14ac:dyDescent="0.25">
      <c r="A9117" s="5">
        <f>9109</f>
      </c>
      <c r="B9117" s="5" t="s">
        <v>8360</v>
      </c>
      <c r="C9117" s="5" t="s">
        <v>11</v>
      </c>
      <c r="D9117" s="5" t="s">
        <v>12</v>
      </c>
      <c r="E9117" s="5" t="s">
        <v>3962</v>
      </c>
    </row>
    <row r="9118" spans="1:5" x14ac:dyDescent="0.25">
      <c r="A9118" s="5">
        <f>9110</f>
      </c>
      <c r="B9118" s="5" t="s">
        <v>8361</v>
      </c>
      <c r="C9118" s="5" t="s">
        <v>11</v>
      </c>
      <c r="D9118" s="5" t="s">
        <v>12</v>
      </c>
      <c r="E9118" s="5" t="s">
        <v>3962</v>
      </c>
    </row>
    <row r="9119" spans="1:5" x14ac:dyDescent="0.25">
      <c r="A9119" s="5">
        <f>9111</f>
      </c>
      <c r="B9119" s="5" t="s">
        <v>8362</v>
      </c>
      <c r="C9119" s="5" t="s">
        <v>11</v>
      </c>
      <c r="D9119" s="5" t="s">
        <v>12</v>
      </c>
      <c r="E9119" s="5" t="s">
        <v>3962</v>
      </c>
    </row>
    <row r="9120" spans="1:5" x14ac:dyDescent="0.25">
      <c r="A9120" s="5">
        <f>9112</f>
      </c>
      <c r="B9120" s="5" t="s">
        <v>8363</v>
      </c>
      <c r="C9120" s="5" t="s">
        <v>11</v>
      </c>
      <c r="D9120" s="5" t="s">
        <v>12</v>
      </c>
      <c r="E9120" s="5" t="s">
        <v>3962</v>
      </c>
    </row>
    <row r="9121" spans="1:5" x14ac:dyDescent="0.25">
      <c r="A9121" s="5">
        <f>9113</f>
      </c>
      <c r="B9121" s="5" t="s">
        <v>8364</v>
      </c>
      <c r="C9121" s="5" t="s">
        <v>11</v>
      </c>
      <c r="D9121" s="5" t="s">
        <v>12</v>
      </c>
      <c r="E9121" s="5" t="s">
        <v>3962</v>
      </c>
    </row>
    <row r="9122" spans="1:5" x14ac:dyDescent="0.25">
      <c r="A9122" s="5">
        <f>9114</f>
      </c>
      <c r="B9122" s="5" t="s">
        <v>8365</v>
      </c>
      <c r="C9122" s="5" t="s">
        <v>11</v>
      </c>
      <c r="D9122" s="5" t="s">
        <v>12</v>
      </c>
      <c r="E9122" s="5" t="s">
        <v>3962</v>
      </c>
    </row>
    <row r="9123" spans="1:5" x14ac:dyDescent="0.25">
      <c r="A9123" s="5">
        <f>9115</f>
      </c>
      <c r="B9123" s="5" t="s">
        <v>8366</v>
      </c>
      <c r="C9123" s="5" t="s">
        <v>11</v>
      </c>
      <c r="D9123" s="5" t="s">
        <v>12</v>
      </c>
      <c r="E9123" s="5" t="s">
        <v>3962</v>
      </c>
    </row>
    <row r="9124" spans="1:5" x14ac:dyDescent="0.25">
      <c r="A9124" s="5">
        <f>9116</f>
      </c>
      <c r="B9124" s="5" t="s">
        <v>8367</v>
      </c>
      <c r="C9124" s="5" t="s">
        <v>11</v>
      </c>
      <c r="D9124" s="5" t="s">
        <v>12</v>
      </c>
      <c r="E9124" s="5" t="s">
        <v>3962</v>
      </c>
    </row>
    <row r="9125" spans="1:5" x14ac:dyDescent="0.25">
      <c r="A9125" s="5">
        <f>9117</f>
      </c>
      <c r="B9125" s="5" t="s">
        <v>8368</v>
      </c>
      <c r="C9125" s="5" t="s">
        <v>11</v>
      </c>
      <c r="D9125" s="5" t="s">
        <v>12</v>
      </c>
      <c r="E9125" s="5" t="s">
        <v>3962</v>
      </c>
    </row>
    <row r="9126" spans="1:5" x14ac:dyDescent="0.25">
      <c r="A9126" s="5">
        <f>9118</f>
      </c>
      <c r="B9126" s="5" t="s">
        <v>8369</v>
      </c>
      <c r="C9126" s="5" t="s">
        <v>11</v>
      </c>
      <c r="D9126" s="5" t="s">
        <v>12</v>
      </c>
      <c r="E9126" s="5" t="s">
        <v>3962</v>
      </c>
    </row>
    <row r="9127" spans="1:5" x14ac:dyDescent="0.25">
      <c r="A9127" s="5">
        <f>9119</f>
      </c>
      <c r="B9127" s="5" t="s">
        <v>8370</v>
      </c>
      <c r="C9127" s="5" t="s">
        <v>11</v>
      </c>
      <c r="D9127" s="5" t="s">
        <v>12</v>
      </c>
      <c r="E9127" s="5" t="s">
        <v>3962</v>
      </c>
    </row>
    <row r="9128" spans="1:5" x14ac:dyDescent="0.25">
      <c r="A9128" s="5">
        <f>9120</f>
      </c>
      <c r="B9128" s="5" t="s">
        <v>8371</v>
      </c>
      <c r="C9128" s="5" t="s">
        <v>11</v>
      </c>
      <c r="D9128" s="5" t="s">
        <v>12</v>
      </c>
      <c r="E9128" s="5" t="s">
        <v>3962</v>
      </c>
    </row>
    <row r="9129" spans="1:5" x14ac:dyDescent="0.25">
      <c r="A9129" s="5">
        <f>9121</f>
      </c>
      <c r="B9129" s="5" t="s">
        <v>8372</v>
      </c>
      <c r="C9129" s="5" t="s">
        <v>11</v>
      </c>
      <c r="D9129" s="5" t="s">
        <v>12</v>
      </c>
      <c r="E9129" s="5" t="s">
        <v>3962</v>
      </c>
    </row>
    <row r="9130" spans="1:5" x14ac:dyDescent="0.25">
      <c r="A9130" s="5">
        <f>9122</f>
      </c>
      <c r="B9130" s="5" t="s">
        <v>8373</v>
      </c>
      <c r="C9130" s="5" t="s">
        <v>11</v>
      </c>
      <c r="D9130" s="5" t="s">
        <v>12</v>
      </c>
      <c r="E9130" s="5" t="s">
        <v>3962</v>
      </c>
    </row>
    <row r="9131" spans="1:5" x14ac:dyDescent="0.25">
      <c r="A9131" s="5">
        <f>9123</f>
      </c>
      <c r="B9131" s="5" t="s">
        <v>8374</v>
      </c>
      <c r="C9131" s="5" t="s">
        <v>11</v>
      </c>
      <c r="D9131" s="5" t="s">
        <v>12</v>
      </c>
      <c r="E9131" s="5" t="s">
        <v>3962</v>
      </c>
    </row>
    <row r="9132" spans="1:5" x14ac:dyDescent="0.25">
      <c r="A9132" s="5">
        <f>9124</f>
      </c>
      <c r="B9132" s="5" t="s">
        <v>8375</v>
      </c>
      <c r="C9132" s="5" t="s">
        <v>11</v>
      </c>
      <c r="D9132" s="5" t="s">
        <v>12</v>
      </c>
      <c r="E9132" s="5" t="s">
        <v>3962</v>
      </c>
    </row>
    <row r="9133" spans="1:5" x14ac:dyDescent="0.25">
      <c r="A9133" s="5">
        <f>9125</f>
      </c>
      <c r="B9133" s="5" t="s">
        <v>8376</v>
      </c>
      <c r="C9133" s="5" t="s">
        <v>11</v>
      </c>
      <c r="D9133" s="5" t="s">
        <v>12</v>
      </c>
      <c r="E9133" s="5" t="s">
        <v>3962</v>
      </c>
    </row>
    <row r="9134" spans="1:5" x14ac:dyDescent="0.25">
      <c r="A9134" s="5">
        <f>9126</f>
      </c>
      <c r="B9134" s="5" t="s">
        <v>8377</v>
      </c>
      <c r="C9134" s="5" t="s">
        <v>11</v>
      </c>
      <c r="D9134" s="5" t="s">
        <v>12</v>
      </c>
      <c r="E9134" s="5" t="s">
        <v>3962</v>
      </c>
    </row>
    <row r="9135" spans="1:5" x14ac:dyDescent="0.25">
      <c r="A9135" s="5">
        <f>9127</f>
      </c>
      <c r="B9135" s="5" t="s">
        <v>8378</v>
      </c>
      <c r="C9135" s="5" t="s">
        <v>11</v>
      </c>
      <c r="D9135" s="5" t="s">
        <v>12</v>
      </c>
      <c r="E9135" s="5" t="s">
        <v>3962</v>
      </c>
    </row>
    <row r="9136" spans="1:5" x14ac:dyDescent="0.25">
      <c r="A9136" s="5">
        <f>9128</f>
      </c>
      <c r="B9136" s="5" t="s">
        <v>8379</v>
      </c>
      <c r="C9136" s="5" t="s">
        <v>11</v>
      </c>
      <c r="D9136" s="5" t="s">
        <v>12</v>
      </c>
      <c r="E9136" s="5" t="s">
        <v>3962</v>
      </c>
    </row>
    <row r="9137" spans="1:5" x14ac:dyDescent="0.25">
      <c r="A9137" s="5">
        <f>9129</f>
      </c>
      <c r="B9137" s="5" t="s">
        <v>8380</v>
      </c>
      <c r="C9137" s="5" t="s">
        <v>11</v>
      </c>
      <c r="D9137" s="5" t="s">
        <v>12</v>
      </c>
      <c r="E9137" s="5" t="s">
        <v>3962</v>
      </c>
    </row>
    <row r="9138" spans="1:5" x14ac:dyDescent="0.25">
      <c r="A9138" s="5">
        <f>9130</f>
      </c>
      <c r="B9138" s="5" t="s">
        <v>8381</v>
      </c>
      <c r="C9138" s="5" t="s">
        <v>11</v>
      </c>
      <c r="D9138" s="5" t="s">
        <v>12</v>
      </c>
      <c r="E9138" s="5" t="s">
        <v>3962</v>
      </c>
    </row>
    <row r="9139" spans="1:5" x14ac:dyDescent="0.25">
      <c r="A9139" s="5">
        <f>9131</f>
      </c>
      <c r="B9139" s="5" t="s">
        <v>8382</v>
      </c>
      <c r="C9139" s="5" t="s">
        <v>11</v>
      </c>
      <c r="D9139" s="5" t="s">
        <v>12</v>
      </c>
      <c r="E9139" s="5" t="s">
        <v>3962</v>
      </c>
    </row>
    <row r="9140" spans="1:5" x14ac:dyDescent="0.25">
      <c r="A9140" s="5">
        <f>9132</f>
      </c>
      <c r="B9140" s="5" t="s">
        <v>8383</v>
      </c>
      <c r="C9140" s="5" t="s">
        <v>11</v>
      </c>
      <c r="D9140" s="5" t="s">
        <v>12</v>
      </c>
      <c r="E9140" s="5" t="s">
        <v>3962</v>
      </c>
    </row>
    <row r="9141" spans="1:5" x14ac:dyDescent="0.25">
      <c r="A9141" s="5">
        <f>9133</f>
      </c>
      <c r="B9141" s="5" t="s">
        <v>8384</v>
      </c>
      <c r="C9141" s="5" t="s">
        <v>11</v>
      </c>
      <c r="D9141" s="5" t="s">
        <v>12</v>
      </c>
      <c r="E9141" s="5" t="s">
        <v>3962</v>
      </c>
    </row>
    <row r="9142" spans="1:5" x14ac:dyDescent="0.25">
      <c r="A9142" s="5">
        <f>9134</f>
      </c>
      <c r="B9142" s="5" t="s">
        <v>8385</v>
      </c>
      <c r="C9142" s="5" t="s">
        <v>11</v>
      </c>
      <c r="D9142" s="5" t="s">
        <v>12</v>
      </c>
      <c r="E9142" s="5" t="s">
        <v>3962</v>
      </c>
    </row>
    <row r="9143" spans="1:5" x14ac:dyDescent="0.25">
      <c r="A9143" s="5">
        <f>9135</f>
      </c>
      <c r="B9143" s="5" t="s">
        <v>8386</v>
      </c>
      <c r="C9143" s="5" t="s">
        <v>11</v>
      </c>
      <c r="D9143" s="5" t="s">
        <v>12</v>
      </c>
      <c r="E9143" s="5" t="s">
        <v>3962</v>
      </c>
    </row>
    <row r="9144" spans="1:5" x14ac:dyDescent="0.25">
      <c r="A9144" s="5">
        <f>9136</f>
      </c>
      <c r="B9144" s="5" t="s">
        <v>8387</v>
      </c>
      <c r="C9144" s="5" t="s">
        <v>11</v>
      </c>
      <c r="D9144" s="5" t="s">
        <v>12</v>
      </c>
      <c r="E9144" s="5" t="s">
        <v>3962</v>
      </c>
    </row>
    <row r="9145" spans="1:5" x14ac:dyDescent="0.25">
      <c r="A9145" s="5">
        <f>9137</f>
      </c>
      <c r="B9145" s="5" t="s">
        <v>8388</v>
      </c>
      <c r="C9145" s="5" t="s">
        <v>11</v>
      </c>
      <c r="D9145" s="5" t="s">
        <v>12</v>
      </c>
      <c r="E9145" s="5" t="s">
        <v>3962</v>
      </c>
    </row>
    <row r="9146" spans="1:5" x14ac:dyDescent="0.25">
      <c r="A9146" s="5">
        <f>9138</f>
      </c>
      <c r="B9146" s="5" t="s">
        <v>8389</v>
      </c>
      <c r="C9146" s="5" t="s">
        <v>11</v>
      </c>
      <c r="D9146" s="5" t="s">
        <v>12</v>
      </c>
      <c r="E9146" s="5" t="s">
        <v>3962</v>
      </c>
    </row>
    <row r="9147" spans="1:5" x14ac:dyDescent="0.25">
      <c r="A9147" s="5">
        <f>9139</f>
      </c>
      <c r="B9147" s="5" t="s">
        <v>8390</v>
      </c>
      <c r="C9147" s="5" t="s">
        <v>11</v>
      </c>
      <c r="D9147" s="5" t="s">
        <v>12</v>
      </c>
      <c r="E9147" s="5" t="s">
        <v>3962</v>
      </c>
    </row>
    <row r="9148" spans="1:5" x14ac:dyDescent="0.25">
      <c r="A9148" s="5">
        <f>9140</f>
      </c>
      <c r="B9148" s="5" t="s">
        <v>8391</v>
      </c>
      <c r="C9148" s="5" t="s">
        <v>11</v>
      </c>
      <c r="D9148" s="5" t="s">
        <v>12</v>
      </c>
      <c r="E9148" s="5" t="s">
        <v>3962</v>
      </c>
    </row>
    <row r="9149" spans="1:5" x14ac:dyDescent="0.25">
      <c r="A9149" s="5">
        <f>9141</f>
      </c>
      <c r="B9149" s="5" t="s">
        <v>8392</v>
      </c>
      <c r="C9149" s="5" t="s">
        <v>11</v>
      </c>
      <c r="D9149" s="5" t="s">
        <v>12</v>
      </c>
      <c r="E9149" s="5" t="s">
        <v>3962</v>
      </c>
    </row>
    <row r="9150" spans="1:5" x14ac:dyDescent="0.25">
      <c r="A9150" s="5">
        <f>9142</f>
      </c>
      <c r="B9150" s="5" t="s">
        <v>8393</v>
      </c>
      <c r="C9150" s="5" t="s">
        <v>11</v>
      </c>
      <c r="D9150" s="5" t="s">
        <v>12</v>
      </c>
      <c r="E9150" s="5" t="s">
        <v>3962</v>
      </c>
    </row>
    <row r="9151" spans="1:5" x14ac:dyDescent="0.25">
      <c r="A9151" s="5">
        <f>9143</f>
      </c>
      <c r="B9151" s="5" t="s">
        <v>8394</v>
      </c>
      <c r="C9151" s="5" t="s">
        <v>11</v>
      </c>
      <c r="D9151" s="5" t="s">
        <v>12</v>
      </c>
      <c r="E9151" s="5" t="s">
        <v>3962</v>
      </c>
    </row>
    <row r="9152" spans="1:5" x14ac:dyDescent="0.25">
      <c r="A9152" s="5">
        <f>9144</f>
      </c>
      <c r="B9152" s="5" t="s">
        <v>8395</v>
      </c>
      <c r="C9152" s="5" t="s">
        <v>11</v>
      </c>
      <c r="D9152" s="5" t="s">
        <v>12</v>
      </c>
      <c r="E9152" s="5" t="s">
        <v>3962</v>
      </c>
    </row>
    <row r="9153" spans="1:5" x14ac:dyDescent="0.25">
      <c r="A9153" s="5">
        <f>9145</f>
      </c>
      <c r="B9153" s="5" t="s">
        <v>8396</v>
      </c>
      <c r="C9153" s="5" t="s">
        <v>11</v>
      </c>
      <c r="D9153" s="5" t="s">
        <v>12</v>
      </c>
      <c r="E9153" s="5" t="s">
        <v>3962</v>
      </c>
    </row>
    <row r="9154" spans="1:5" x14ac:dyDescent="0.25">
      <c r="A9154" s="5">
        <f>9146</f>
      </c>
      <c r="B9154" s="5" t="s">
        <v>8397</v>
      </c>
      <c r="C9154" s="5" t="s">
        <v>11</v>
      </c>
      <c r="D9154" s="5" t="s">
        <v>12</v>
      </c>
      <c r="E9154" s="5" t="s">
        <v>3962</v>
      </c>
    </row>
    <row r="9155" spans="1:5" x14ac:dyDescent="0.25">
      <c r="A9155" s="5">
        <f>9147</f>
      </c>
      <c r="B9155" s="5" t="s">
        <v>8398</v>
      </c>
      <c r="C9155" s="5" t="s">
        <v>11</v>
      </c>
      <c r="D9155" s="5" t="s">
        <v>12</v>
      </c>
      <c r="E9155" s="5" t="s">
        <v>3962</v>
      </c>
    </row>
    <row r="9156" spans="1:5" x14ac:dyDescent="0.25">
      <c r="A9156" s="5">
        <f>9148</f>
      </c>
      <c r="B9156" s="5" t="s">
        <v>8399</v>
      </c>
      <c r="C9156" s="5" t="s">
        <v>11</v>
      </c>
      <c r="D9156" s="5" t="s">
        <v>12</v>
      </c>
      <c r="E9156" s="5" t="s">
        <v>3962</v>
      </c>
    </row>
    <row r="9157" spans="1:5" x14ac:dyDescent="0.25">
      <c r="A9157" s="5">
        <f>9149</f>
      </c>
      <c r="B9157" s="5" t="s">
        <v>8400</v>
      </c>
      <c r="C9157" s="5" t="s">
        <v>11</v>
      </c>
      <c r="D9157" s="5" t="s">
        <v>12</v>
      </c>
      <c r="E9157" s="5" t="s">
        <v>3962</v>
      </c>
    </row>
    <row r="9158" spans="1:5" x14ac:dyDescent="0.25">
      <c r="A9158" s="5">
        <f>9150</f>
      </c>
      <c r="B9158" s="5" t="s">
        <v>8401</v>
      </c>
      <c r="C9158" s="5" t="s">
        <v>11</v>
      </c>
      <c r="D9158" s="5" t="s">
        <v>12</v>
      </c>
      <c r="E9158" s="5" t="s">
        <v>3962</v>
      </c>
    </row>
    <row r="9159" spans="1:5" x14ac:dyDescent="0.25">
      <c r="A9159" s="5">
        <f>9151</f>
      </c>
      <c r="B9159" s="5" t="s">
        <v>8402</v>
      </c>
      <c r="C9159" s="5" t="s">
        <v>11</v>
      </c>
      <c r="D9159" s="5" t="s">
        <v>12</v>
      </c>
      <c r="E9159" s="5" t="s">
        <v>3962</v>
      </c>
    </row>
    <row r="9160" spans="1:5" x14ac:dyDescent="0.25">
      <c r="A9160" s="5">
        <f>9152</f>
      </c>
      <c r="B9160" s="5" t="s">
        <v>8403</v>
      </c>
      <c r="C9160" s="5" t="s">
        <v>11</v>
      </c>
      <c r="D9160" s="5" t="s">
        <v>12</v>
      </c>
      <c r="E9160" s="5" t="s">
        <v>3962</v>
      </c>
    </row>
    <row r="9161" spans="1:5" x14ac:dyDescent="0.25">
      <c r="A9161" s="5">
        <f>9153</f>
      </c>
      <c r="B9161" s="5" t="s">
        <v>8404</v>
      </c>
      <c r="C9161" s="5" t="s">
        <v>11</v>
      </c>
      <c r="D9161" s="5" t="s">
        <v>12</v>
      </c>
      <c r="E9161" s="5" t="s">
        <v>3962</v>
      </c>
    </row>
    <row r="9162" spans="1:5" x14ac:dyDescent="0.25">
      <c r="A9162" s="5">
        <f>9154</f>
      </c>
      <c r="B9162" s="5" t="s">
        <v>8405</v>
      </c>
      <c r="C9162" s="5" t="s">
        <v>11</v>
      </c>
      <c r="D9162" s="5" t="s">
        <v>12</v>
      </c>
      <c r="E9162" s="5" t="s">
        <v>3962</v>
      </c>
    </row>
    <row r="9163" spans="1:5" x14ac:dyDescent="0.25">
      <c r="A9163" s="5">
        <f>9155</f>
      </c>
      <c r="B9163" s="5" t="s">
        <v>8406</v>
      </c>
      <c r="C9163" s="5" t="s">
        <v>11</v>
      </c>
      <c r="D9163" s="5" t="s">
        <v>12</v>
      </c>
      <c r="E9163" s="5" t="s">
        <v>3962</v>
      </c>
    </row>
    <row r="9164" spans="1:5" x14ac:dyDescent="0.25">
      <c r="A9164" s="5">
        <f>9156</f>
      </c>
      <c r="B9164" s="5" t="s">
        <v>8407</v>
      </c>
      <c r="C9164" s="5" t="s">
        <v>11</v>
      </c>
      <c r="D9164" s="5" t="s">
        <v>12</v>
      </c>
      <c r="E9164" s="5" t="s">
        <v>3962</v>
      </c>
    </row>
    <row r="9165" spans="1:5" x14ac:dyDescent="0.25">
      <c r="A9165" s="5">
        <f>9157</f>
      </c>
      <c r="B9165" s="5" t="s">
        <v>8408</v>
      </c>
      <c r="C9165" s="5" t="s">
        <v>11</v>
      </c>
      <c r="D9165" s="5" t="s">
        <v>12</v>
      </c>
      <c r="E9165" s="5" t="s">
        <v>3962</v>
      </c>
    </row>
    <row r="9166" spans="1:5" x14ac:dyDescent="0.25">
      <c r="A9166" s="5">
        <f>9158</f>
      </c>
      <c r="B9166" s="5" t="s">
        <v>8409</v>
      </c>
      <c r="C9166" s="5" t="s">
        <v>11</v>
      </c>
      <c r="D9166" s="5" t="s">
        <v>12</v>
      </c>
      <c r="E9166" s="5" t="s">
        <v>3962</v>
      </c>
    </row>
    <row r="9167" spans="1:5" x14ac:dyDescent="0.25">
      <c r="A9167" s="5">
        <f>9159</f>
      </c>
      <c r="B9167" s="5" t="s">
        <v>8410</v>
      </c>
      <c r="C9167" s="5" t="s">
        <v>11</v>
      </c>
      <c r="D9167" s="5" t="s">
        <v>12</v>
      </c>
      <c r="E9167" s="5" t="s">
        <v>3962</v>
      </c>
    </row>
    <row r="9168" spans="1:5" x14ac:dyDescent="0.25">
      <c r="A9168" s="5">
        <f>9160</f>
      </c>
      <c r="B9168" s="5" t="s">
        <v>8411</v>
      </c>
      <c r="C9168" s="5" t="s">
        <v>11</v>
      </c>
      <c r="D9168" s="5" t="s">
        <v>12</v>
      </c>
      <c r="E9168" s="5" t="s">
        <v>3962</v>
      </c>
    </row>
    <row r="9169" spans="1:5" x14ac:dyDescent="0.25">
      <c r="A9169" s="5">
        <f>9161</f>
      </c>
      <c r="B9169" s="5" t="s">
        <v>8412</v>
      </c>
      <c r="C9169" s="5" t="s">
        <v>11</v>
      </c>
      <c r="D9169" s="5" t="s">
        <v>12</v>
      </c>
      <c r="E9169" s="5" t="s">
        <v>3962</v>
      </c>
    </row>
    <row r="9170" spans="1:5" x14ac:dyDescent="0.25">
      <c r="A9170" s="5">
        <f>9162</f>
      </c>
      <c r="B9170" s="5" t="s">
        <v>8413</v>
      </c>
      <c r="C9170" s="5" t="s">
        <v>11</v>
      </c>
      <c r="D9170" s="5" t="s">
        <v>12</v>
      </c>
      <c r="E9170" s="5" t="s">
        <v>3962</v>
      </c>
    </row>
    <row r="9171" spans="1:5" x14ac:dyDescent="0.25">
      <c r="A9171" s="5">
        <f>9163</f>
      </c>
      <c r="B9171" s="5" t="s">
        <v>8414</v>
      </c>
      <c r="C9171" s="5" t="s">
        <v>11</v>
      </c>
      <c r="D9171" s="5" t="s">
        <v>12</v>
      </c>
      <c r="E9171" s="5" t="s">
        <v>3962</v>
      </c>
    </row>
    <row r="9172" spans="1:5" x14ac:dyDescent="0.25">
      <c r="A9172" s="5">
        <f>9164</f>
      </c>
      <c r="B9172" s="5" t="s">
        <v>8415</v>
      </c>
      <c r="C9172" s="5" t="s">
        <v>11</v>
      </c>
      <c r="D9172" s="5" t="s">
        <v>12</v>
      </c>
      <c r="E9172" s="5" t="s">
        <v>3962</v>
      </c>
    </row>
    <row r="9173" spans="1:5" x14ac:dyDescent="0.25">
      <c r="A9173" s="5">
        <f>9165</f>
      </c>
      <c r="B9173" s="5" t="s">
        <v>8416</v>
      </c>
      <c r="C9173" s="5" t="s">
        <v>11</v>
      </c>
      <c r="D9173" s="5" t="s">
        <v>12</v>
      </c>
      <c r="E9173" s="5" t="s">
        <v>3962</v>
      </c>
    </row>
    <row r="9174" spans="1:5" x14ac:dyDescent="0.25">
      <c r="A9174" s="5">
        <f>9166</f>
      </c>
      <c r="B9174" s="5" t="s">
        <v>8417</v>
      </c>
      <c r="C9174" s="5" t="s">
        <v>11</v>
      </c>
      <c r="D9174" s="5" t="s">
        <v>12</v>
      </c>
      <c r="E9174" s="5" t="s">
        <v>3962</v>
      </c>
    </row>
    <row r="9175" spans="1:5" x14ac:dyDescent="0.25">
      <c r="A9175" s="5">
        <f>9167</f>
      </c>
      <c r="B9175" s="5" t="s">
        <v>8418</v>
      </c>
      <c r="C9175" s="5" t="s">
        <v>11</v>
      </c>
      <c r="D9175" s="5" t="s">
        <v>12</v>
      </c>
      <c r="E9175" s="5" t="s">
        <v>3962</v>
      </c>
    </row>
    <row r="9176" spans="1:5" x14ac:dyDescent="0.25">
      <c r="A9176" s="5">
        <f>9168</f>
      </c>
      <c r="B9176" s="5" t="s">
        <v>8419</v>
      </c>
      <c r="C9176" s="5" t="s">
        <v>11</v>
      </c>
      <c r="D9176" s="5" t="s">
        <v>12</v>
      </c>
      <c r="E9176" s="5" t="s">
        <v>3962</v>
      </c>
    </row>
    <row r="9177" spans="1:5" x14ac:dyDescent="0.25">
      <c r="A9177" s="5">
        <f>9169</f>
      </c>
      <c r="B9177" s="5" t="s">
        <v>8420</v>
      </c>
      <c r="C9177" s="5" t="s">
        <v>11</v>
      </c>
      <c r="D9177" s="5" t="s">
        <v>12</v>
      </c>
      <c r="E9177" s="5" t="s">
        <v>3962</v>
      </c>
    </row>
    <row r="9178" spans="1:5" x14ac:dyDescent="0.25">
      <c r="A9178" s="5">
        <f>9170</f>
      </c>
      <c r="B9178" s="5" t="s">
        <v>8421</v>
      </c>
      <c r="C9178" s="5" t="s">
        <v>11</v>
      </c>
      <c r="D9178" s="5" t="s">
        <v>12</v>
      </c>
      <c r="E9178" s="5" t="s">
        <v>3962</v>
      </c>
    </row>
    <row r="9179" spans="1:5" x14ac:dyDescent="0.25">
      <c r="A9179" s="5">
        <f>9171</f>
      </c>
      <c r="B9179" s="5" t="s">
        <v>8422</v>
      </c>
      <c r="C9179" s="5" t="s">
        <v>11</v>
      </c>
      <c r="D9179" s="5" t="s">
        <v>12</v>
      </c>
      <c r="E9179" s="5" t="s">
        <v>3962</v>
      </c>
    </row>
    <row r="9180" spans="1:5" x14ac:dyDescent="0.25">
      <c r="A9180" s="5">
        <f>9172</f>
      </c>
      <c r="B9180" s="5" t="s">
        <v>8423</v>
      </c>
      <c r="C9180" s="5" t="s">
        <v>11</v>
      </c>
      <c r="D9180" s="5" t="s">
        <v>12</v>
      </c>
      <c r="E9180" s="5" t="s">
        <v>3962</v>
      </c>
    </row>
    <row r="9181" spans="1:5" x14ac:dyDescent="0.25">
      <c r="A9181" s="5">
        <f>9173</f>
      </c>
      <c r="B9181" s="5" t="s">
        <v>8424</v>
      </c>
      <c r="C9181" s="5" t="s">
        <v>11</v>
      </c>
      <c r="D9181" s="5" t="s">
        <v>12</v>
      </c>
      <c r="E9181" s="5" t="s">
        <v>3962</v>
      </c>
    </row>
    <row r="9182" spans="1:5" x14ac:dyDescent="0.25">
      <c r="A9182" s="5">
        <f>9174</f>
      </c>
      <c r="B9182" s="5" t="s">
        <v>8425</v>
      </c>
      <c r="C9182" s="5" t="s">
        <v>11</v>
      </c>
      <c r="D9182" s="5" t="s">
        <v>12</v>
      </c>
      <c r="E9182" s="5" t="s">
        <v>3962</v>
      </c>
    </row>
    <row r="9183" spans="1:5" x14ac:dyDescent="0.25">
      <c r="A9183" s="5">
        <f>9175</f>
      </c>
      <c r="B9183" s="5" t="s">
        <v>8426</v>
      </c>
      <c r="C9183" s="5" t="s">
        <v>11</v>
      </c>
      <c r="D9183" s="5" t="s">
        <v>12</v>
      </c>
      <c r="E9183" s="5" t="s">
        <v>3962</v>
      </c>
    </row>
    <row r="9184" spans="1:5" x14ac:dyDescent="0.25">
      <c r="A9184" s="5">
        <f>9176</f>
      </c>
      <c r="B9184" s="5" t="s">
        <v>8427</v>
      </c>
      <c r="C9184" s="5" t="s">
        <v>11</v>
      </c>
      <c r="D9184" s="5" t="s">
        <v>12</v>
      </c>
      <c r="E9184" s="5" t="s">
        <v>3962</v>
      </c>
    </row>
    <row r="9185" spans="1:5" x14ac:dyDescent="0.25">
      <c r="A9185" s="5">
        <f>9177</f>
      </c>
      <c r="B9185" s="5" t="s">
        <v>8428</v>
      </c>
      <c r="C9185" s="5" t="s">
        <v>11</v>
      </c>
      <c r="D9185" s="5" t="s">
        <v>12</v>
      </c>
      <c r="E9185" s="5" t="s">
        <v>3962</v>
      </c>
    </row>
    <row r="9186" spans="1:5" x14ac:dyDescent="0.25">
      <c r="A9186" s="5">
        <f>9178</f>
      </c>
      <c r="B9186" s="5" t="s">
        <v>8429</v>
      </c>
      <c r="C9186" s="5" t="s">
        <v>11</v>
      </c>
      <c r="D9186" s="5" t="s">
        <v>12</v>
      </c>
      <c r="E9186" s="5" t="s">
        <v>3962</v>
      </c>
    </row>
    <row r="9187" spans="1:5" x14ac:dyDescent="0.25">
      <c r="A9187" s="5">
        <f>9179</f>
      </c>
      <c r="B9187" s="5" t="s">
        <v>8430</v>
      </c>
      <c r="C9187" s="5" t="s">
        <v>11</v>
      </c>
      <c r="D9187" s="5" t="s">
        <v>12</v>
      </c>
      <c r="E9187" s="5" t="s">
        <v>3962</v>
      </c>
    </row>
    <row r="9188" spans="1:5" x14ac:dyDescent="0.25">
      <c r="A9188" s="5">
        <f>9180</f>
      </c>
      <c r="B9188" s="5" t="s">
        <v>8431</v>
      </c>
      <c r="C9188" s="5" t="s">
        <v>11</v>
      </c>
      <c r="D9188" s="5" t="s">
        <v>12</v>
      </c>
      <c r="E9188" s="5" t="s">
        <v>3962</v>
      </c>
    </row>
    <row r="9189" spans="1:5" x14ac:dyDescent="0.25">
      <c r="A9189" s="5">
        <f>9181</f>
      </c>
      <c r="B9189" s="5" t="s">
        <v>8432</v>
      </c>
      <c r="C9189" s="5" t="s">
        <v>11</v>
      </c>
      <c r="D9189" s="5" t="s">
        <v>12</v>
      </c>
      <c r="E9189" s="5" t="s">
        <v>3962</v>
      </c>
    </row>
    <row r="9190" spans="1:5" x14ac:dyDescent="0.25">
      <c r="A9190" s="5">
        <f>9182</f>
      </c>
      <c r="B9190" s="5" t="s">
        <v>8433</v>
      </c>
      <c r="C9190" s="5" t="s">
        <v>11</v>
      </c>
      <c r="D9190" s="5" t="s">
        <v>12</v>
      </c>
      <c r="E9190" s="5" t="s">
        <v>3962</v>
      </c>
    </row>
    <row r="9191" spans="1:5" x14ac:dyDescent="0.25">
      <c r="A9191" s="5">
        <f>9183</f>
      </c>
      <c r="B9191" s="5" t="s">
        <v>8434</v>
      </c>
      <c r="C9191" s="5" t="s">
        <v>11</v>
      </c>
      <c r="D9191" s="5" t="s">
        <v>12</v>
      </c>
      <c r="E9191" s="5" t="s">
        <v>3962</v>
      </c>
    </row>
    <row r="9192" spans="1:5" x14ac:dyDescent="0.25">
      <c r="A9192" s="5">
        <f>9184</f>
      </c>
      <c r="B9192" s="5" t="s">
        <v>8435</v>
      </c>
      <c r="C9192" s="5" t="s">
        <v>11</v>
      </c>
      <c r="D9192" s="5" t="s">
        <v>12</v>
      </c>
      <c r="E9192" s="5" t="s">
        <v>3962</v>
      </c>
    </row>
    <row r="9193" spans="1:5" x14ac:dyDescent="0.25">
      <c r="A9193" s="5">
        <f>9185</f>
      </c>
      <c r="B9193" s="5" t="s">
        <v>8436</v>
      </c>
      <c r="C9193" s="5" t="s">
        <v>11</v>
      </c>
      <c r="D9193" s="5" t="s">
        <v>12</v>
      </c>
      <c r="E9193" s="5" t="s">
        <v>3962</v>
      </c>
    </row>
    <row r="9194" spans="1:5" x14ac:dyDescent="0.25">
      <c r="A9194" s="5">
        <f>9186</f>
      </c>
      <c r="B9194" s="5" t="s">
        <v>8437</v>
      </c>
      <c r="C9194" s="5" t="s">
        <v>11</v>
      </c>
      <c r="D9194" s="5" t="s">
        <v>12</v>
      </c>
      <c r="E9194" s="5" t="s">
        <v>3962</v>
      </c>
    </row>
    <row r="9195" spans="1:5" x14ac:dyDescent="0.25">
      <c r="A9195" s="5">
        <f>9187</f>
      </c>
      <c r="B9195" s="5" t="s">
        <v>8438</v>
      </c>
      <c r="C9195" s="5" t="s">
        <v>11</v>
      </c>
      <c r="D9195" s="5" t="s">
        <v>12</v>
      </c>
      <c r="E9195" s="5" t="s">
        <v>3962</v>
      </c>
    </row>
    <row r="9196" spans="1:5" x14ac:dyDescent="0.25">
      <c r="A9196" s="5">
        <f>9188</f>
      </c>
      <c r="B9196" s="5" t="s">
        <v>8439</v>
      </c>
      <c r="C9196" s="5" t="s">
        <v>11</v>
      </c>
      <c r="D9196" s="5" t="s">
        <v>12</v>
      </c>
      <c r="E9196" s="5" t="s">
        <v>3962</v>
      </c>
    </row>
    <row r="9197" spans="1:5" x14ac:dyDescent="0.25">
      <c r="A9197" s="5">
        <f>9189</f>
      </c>
      <c r="B9197" s="5" t="s">
        <v>8440</v>
      </c>
      <c r="C9197" s="5" t="s">
        <v>11</v>
      </c>
      <c r="D9197" s="5" t="s">
        <v>12</v>
      </c>
      <c r="E9197" s="5" t="s">
        <v>3962</v>
      </c>
    </row>
    <row r="9198" spans="1:5" x14ac:dyDescent="0.25">
      <c r="A9198" s="5">
        <f>9190</f>
      </c>
      <c r="B9198" s="5" t="s">
        <v>8441</v>
      </c>
      <c r="C9198" s="5" t="s">
        <v>11</v>
      </c>
      <c r="D9198" s="5" t="s">
        <v>12</v>
      </c>
      <c r="E9198" s="5" t="s">
        <v>3962</v>
      </c>
    </row>
    <row r="9199" spans="1:5" x14ac:dyDescent="0.25">
      <c r="A9199" s="5">
        <f>9191</f>
      </c>
      <c r="B9199" s="5" t="s">
        <v>8442</v>
      </c>
      <c r="C9199" s="5" t="s">
        <v>11</v>
      </c>
      <c r="D9199" s="5" t="s">
        <v>12</v>
      </c>
      <c r="E9199" s="5" t="s">
        <v>3962</v>
      </c>
    </row>
    <row r="9200" spans="1:5" x14ac:dyDescent="0.25">
      <c r="A9200" s="5">
        <f>9192</f>
      </c>
      <c r="B9200" s="5" t="s">
        <v>8443</v>
      </c>
      <c r="C9200" s="5" t="s">
        <v>11</v>
      </c>
      <c r="D9200" s="5" t="s">
        <v>12</v>
      </c>
      <c r="E9200" s="5" t="s">
        <v>3962</v>
      </c>
    </row>
    <row r="9201" spans="1:5" x14ac:dyDescent="0.25">
      <c r="A9201" s="5">
        <f>9193</f>
      </c>
      <c r="B9201" s="5" t="s">
        <v>8444</v>
      </c>
      <c r="C9201" s="5" t="s">
        <v>11</v>
      </c>
      <c r="D9201" s="5" t="s">
        <v>12</v>
      </c>
      <c r="E9201" s="5" t="s">
        <v>3962</v>
      </c>
    </row>
    <row r="9202" spans="1:5" x14ac:dyDescent="0.25">
      <c r="A9202" s="5">
        <f>9194</f>
      </c>
      <c r="B9202" s="5" t="s">
        <v>8445</v>
      </c>
      <c r="C9202" s="5" t="s">
        <v>11</v>
      </c>
      <c r="D9202" s="5" t="s">
        <v>12</v>
      </c>
      <c r="E9202" s="5" t="s">
        <v>3962</v>
      </c>
    </row>
    <row r="9203" spans="1:5" x14ac:dyDescent="0.25">
      <c r="A9203" s="5">
        <f>9195</f>
      </c>
      <c r="B9203" s="5" t="s">
        <v>8446</v>
      </c>
      <c r="C9203" s="5" t="s">
        <v>11</v>
      </c>
      <c r="D9203" s="5" t="s">
        <v>12</v>
      </c>
      <c r="E9203" s="5" t="s">
        <v>3962</v>
      </c>
    </row>
    <row r="9204" spans="1:5" x14ac:dyDescent="0.25">
      <c r="A9204" s="5">
        <f>9196</f>
      </c>
      <c r="B9204" s="5" t="s">
        <v>8447</v>
      </c>
      <c r="C9204" s="5" t="s">
        <v>11</v>
      </c>
      <c r="D9204" s="5" t="s">
        <v>12</v>
      </c>
      <c r="E9204" s="5" t="s">
        <v>3962</v>
      </c>
    </row>
    <row r="9205" spans="1:5" x14ac:dyDescent="0.25">
      <c r="A9205" s="5">
        <f>9197</f>
      </c>
      <c r="B9205" s="5" t="s">
        <v>8448</v>
      </c>
      <c r="C9205" s="5" t="s">
        <v>11</v>
      </c>
      <c r="D9205" s="5" t="s">
        <v>12</v>
      </c>
      <c r="E9205" s="5" t="s">
        <v>3962</v>
      </c>
    </row>
    <row r="9206" spans="1:5" x14ac:dyDescent="0.25">
      <c r="A9206" s="5">
        <f>9198</f>
      </c>
      <c r="B9206" s="5" t="s">
        <v>8449</v>
      </c>
      <c r="C9206" s="5" t="s">
        <v>11</v>
      </c>
      <c r="D9206" s="5" t="s">
        <v>12</v>
      </c>
      <c r="E9206" s="5" t="s">
        <v>3962</v>
      </c>
    </row>
    <row r="9207" spans="1:5" x14ac:dyDescent="0.25">
      <c r="A9207" s="5">
        <f>9199</f>
      </c>
      <c r="B9207" s="5" t="s">
        <v>8450</v>
      </c>
      <c r="C9207" s="5" t="s">
        <v>11</v>
      </c>
      <c r="D9207" s="5" t="s">
        <v>12</v>
      </c>
      <c r="E9207" s="5" t="s">
        <v>3962</v>
      </c>
    </row>
    <row r="9208" spans="1:5" x14ac:dyDescent="0.25">
      <c r="A9208" s="5">
        <f>9200</f>
      </c>
      <c r="B9208" s="5" t="s">
        <v>8451</v>
      </c>
      <c r="C9208" s="5" t="s">
        <v>11</v>
      </c>
      <c r="D9208" s="5" t="s">
        <v>12</v>
      </c>
      <c r="E9208" s="5" t="s">
        <v>3962</v>
      </c>
    </row>
    <row r="9209" spans="1:5" x14ac:dyDescent="0.25">
      <c r="A9209" s="5">
        <f>9201</f>
      </c>
      <c r="B9209" s="5" t="s">
        <v>8452</v>
      </c>
      <c r="C9209" s="5" t="s">
        <v>11</v>
      </c>
      <c r="D9209" s="5" t="s">
        <v>12</v>
      </c>
      <c r="E9209" s="5" t="s">
        <v>3962</v>
      </c>
    </row>
    <row r="9210" spans="1:5" x14ac:dyDescent="0.25">
      <c r="A9210" s="5">
        <f>9202</f>
      </c>
      <c r="B9210" s="5" t="s">
        <v>8453</v>
      </c>
      <c r="C9210" s="5" t="s">
        <v>11</v>
      </c>
      <c r="D9210" s="5" t="s">
        <v>12</v>
      </c>
      <c r="E9210" s="5" t="s">
        <v>3962</v>
      </c>
    </row>
    <row r="9211" spans="1:5" x14ac:dyDescent="0.25">
      <c r="A9211" s="5">
        <f>9203</f>
      </c>
      <c r="B9211" s="5" t="s">
        <v>8454</v>
      </c>
      <c r="C9211" s="5" t="s">
        <v>11</v>
      </c>
      <c r="D9211" s="5" t="s">
        <v>12</v>
      </c>
      <c r="E9211" s="5" t="s">
        <v>3962</v>
      </c>
    </row>
    <row r="9212" spans="1:5" x14ac:dyDescent="0.25">
      <c r="A9212" s="5">
        <f>9204</f>
      </c>
      <c r="B9212" s="5" t="s">
        <v>8455</v>
      </c>
      <c r="C9212" s="5" t="s">
        <v>11</v>
      </c>
      <c r="D9212" s="5" t="s">
        <v>12</v>
      </c>
      <c r="E9212" s="5" t="s">
        <v>3962</v>
      </c>
    </row>
    <row r="9213" spans="1:5" x14ac:dyDescent="0.25">
      <c r="A9213" s="5">
        <f>9205</f>
      </c>
      <c r="B9213" s="5" t="s">
        <v>8456</v>
      </c>
      <c r="C9213" s="5" t="s">
        <v>11</v>
      </c>
      <c r="D9213" s="5" t="s">
        <v>12</v>
      </c>
      <c r="E9213" s="5" t="s">
        <v>3962</v>
      </c>
    </row>
    <row r="9214" spans="1:5" x14ac:dyDescent="0.25">
      <c r="A9214" s="5">
        <f>9206</f>
      </c>
      <c r="B9214" s="5" t="s">
        <v>8457</v>
      </c>
      <c r="C9214" s="5" t="s">
        <v>11</v>
      </c>
      <c r="D9214" s="5" t="s">
        <v>12</v>
      </c>
      <c r="E9214" s="5" t="s">
        <v>3962</v>
      </c>
    </row>
    <row r="9215" spans="1:5" x14ac:dyDescent="0.25">
      <c r="A9215" s="5">
        <f>9207</f>
      </c>
      <c r="B9215" s="5" t="s">
        <v>8458</v>
      </c>
      <c r="C9215" s="5" t="s">
        <v>11</v>
      </c>
      <c r="D9215" s="5" t="s">
        <v>12</v>
      </c>
      <c r="E9215" s="5" t="s">
        <v>3962</v>
      </c>
    </row>
    <row r="9216" spans="1:5" x14ac:dyDescent="0.25">
      <c r="A9216" s="5">
        <f>9208</f>
      </c>
      <c r="B9216" s="5" t="s">
        <v>8459</v>
      </c>
      <c r="C9216" s="5" t="s">
        <v>11</v>
      </c>
      <c r="D9216" s="5" t="s">
        <v>12</v>
      </c>
      <c r="E9216" s="5" t="s">
        <v>3962</v>
      </c>
    </row>
    <row r="9217" spans="1:5" x14ac:dyDescent="0.25">
      <c r="A9217" s="5">
        <f>9209</f>
      </c>
      <c r="B9217" s="5" t="s">
        <v>8460</v>
      </c>
      <c r="C9217" s="5" t="s">
        <v>11</v>
      </c>
      <c r="D9217" s="5" t="s">
        <v>12</v>
      </c>
      <c r="E9217" s="5" t="s">
        <v>3962</v>
      </c>
    </row>
    <row r="9218" spans="1:5" x14ac:dyDescent="0.25">
      <c r="A9218" s="5">
        <f>9210</f>
      </c>
      <c r="B9218" s="5" t="s">
        <v>8461</v>
      </c>
      <c r="C9218" s="5" t="s">
        <v>11</v>
      </c>
      <c r="D9218" s="5" t="s">
        <v>12</v>
      </c>
      <c r="E9218" s="5" t="s">
        <v>3962</v>
      </c>
    </row>
    <row r="9219" spans="1:5" x14ac:dyDescent="0.25">
      <c r="A9219" s="5">
        <f>9211</f>
      </c>
      <c r="B9219" s="5" t="s">
        <v>8462</v>
      </c>
      <c r="C9219" s="5" t="s">
        <v>11</v>
      </c>
      <c r="D9219" s="5" t="s">
        <v>12</v>
      </c>
      <c r="E9219" s="5" t="s">
        <v>3962</v>
      </c>
    </row>
    <row r="9220" spans="1:5" x14ac:dyDescent="0.25">
      <c r="A9220" s="5">
        <f>9212</f>
      </c>
      <c r="B9220" s="5" t="s">
        <v>8463</v>
      </c>
      <c r="C9220" s="5" t="s">
        <v>11</v>
      </c>
      <c r="D9220" s="5" t="s">
        <v>12</v>
      </c>
      <c r="E9220" s="5" t="s">
        <v>3962</v>
      </c>
    </row>
    <row r="9221" spans="1:5" x14ac:dyDescent="0.25">
      <c r="A9221" s="5">
        <f>9213</f>
      </c>
      <c r="B9221" s="5" t="s">
        <v>8464</v>
      </c>
      <c r="C9221" s="5" t="s">
        <v>11</v>
      </c>
      <c r="D9221" s="5" t="s">
        <v>12</v>
      </c>
      <c r="E9221" s="5" t="s">
        <v>3962</v>
      </c>
    </row>
    <row r="9222" spans="1:5" x14ac:dyDescent="0.25">
      <c r="A9222" s="5">
        <f>9214</f>
      </c>
      <c r="B9222" s="5" t="s">
        <v>8465</v>
      </c>
      <c r="C9222" s="5" t="s">
        <v>11</v>
      </c>
      <c r="D9222" s="5" t="s">
        <v>12</v>
      </c>
      <c r="E9222" s="5" t="s">
        <v>3962</v>
      </c>
    </row>
    <row r="9223" spans="1:5" x14ac:dyDescent="0.25">
      <c r="A9223" s="5">
        <f>9215</f>
      </c>
      <c r="B9223" s="5" t="s">
        <v>8466</v>
      </c>
      <c r="C9223" s="5" t="s">
        <v>11</v>
      </c>
      <c r="D9223" s="5" t="s">
        <v>12</v>
      </c>
      <c r="E9223" s="5" t="s">
        <v>3962</v>
      </c>
    </row>
    <row r="9224" spans="1:5" x14ac:dyDescent="0.25">
      <c r="A9224" s="5">
        <f>9216</f>
      </c>
      <c r="B9224" s="5" t="s">
        <v>8467</v>
      </c>
      <c r="C9224" s="5" t="s">
        <v>11</v>
      </c>
      <c r="D9224" s="5" t="s">
        <v>12</v>
      </c>
      <c r="E9224" s="5" t="s">
        <v>3962</v>
      </c>
    </row>
    <row r="9225" spans="1:5" x14ac:dyDescent="0.25">
      <c r="A9225" s="5">
        <f>9217</f>
      </c>
      <c r="B9225" s="5" t="s">
        <v>8468</v>
      </c>
      <c r="C9225" s="5" t="s">
        <v>11</v>
      </c>
      <c r="D9225" s="5" t="s">
        <v>12</v>
      </c>
      <c r="E9225" s="5" t="s">
        <v>3962</v>
      </c>
    </row>
    <row r="9226" spans="1:5" x14ac:dyDescent="0.25">
      <c r="A9226" s="5">
        <f>9218</f>
      </c>
      <c r="B9226" s="5" t="s">
        <v>8469</v>
      </c>
      <c r="C9226" s="5" t="s">
        <v>11</v>
      </c>
      <c r="D9226" s="5" t="s">
        <v>12</v>
      </c>
      <c r="E9226" s="5" t="s">
        <v>3962</v>
      </c>
    </row>
    <row r="9227" spans="1:5" x14ac:dyDescent="0.25">
      <c r="A9227" s="5">
        <f>9219</f>
      </c>
      <c r="B9227" s="5" t="s">
        <v>8470</v>
      </c>
      <c r="C9227" s="5" t="s">
        <v>11</v>
      </c>
      <c r="D9227" s="5" t="s">
        <v>12</v>
      </c>
      <c r="E9227" s="5" t="s">
        <v>3962</v>
      </c>
    </row>
    <row r="9228" spans="1:5" x14ac:dyDescent="0.25">
      <c r="A9228" s="5">
        <f>9220</f>
      </c>
      <c r="B9228" s="5" t="s">
        <v>8471</v>
      </c>
      <c r="C9228" s="5" t="s">
        <v>11</v>
      </c>
      <c r="D9228" s="5" t="s">
        <v>12</v>
      </c>
      <c r="E9228" s="5" t="s">
        <v>3962</v>
      </c>
    </row>
    <row r="9229" spans="1:5" x14ac:dyDescent="0.25">
      <c r="A9229" s="5">
        <f>9221</f>
      </c>
      <c r="B9229" s="5" t="s">
        <v>8472</v>
      </c>
      <c r="C9229" s="5" t="s">
        <v>11</v>
      </c>
      <c r="D9229" s="5" t="s">
        <v>12</v>
      </c>
      <c r="E9229" s="5" t="s">
        <v>3962</v>
      </c>
    </row>
    <row r="9230" spans="1:5" x14ac:dyDescent="0.25">
      <c r="A9230" s="5">
        <f>9222</f>
      </c>
      <c r="B9230" s="5" t="s">
        <v>8473</v>
      </c>
      <c r="C9230" s="5" t="s">
        <v>11</v>
      </c>
      <c r="D9230" s="5" t="s">
        <v>12</v>
      </c>
      <c r="E9230" s="5" t="s">
        <v>3962</v>
      </c>
    </row>
    <row r="9231" spans="1:5" x14ac:dyDescent="0.25">
      <c r="A9231" s="5">
        <f>9223</f>
      </c>
      <c r="B9231" s="5" t="s">
        <v>8474</v>
      </c>
      <c r="C9231" s="5" t="s">
        <v>11</v>
      </c>
      <c r="D9231" s="5" t="s">
        <v>12</v>
      </c>
      <c r="E9231" s="5" t="s">
        <v>3962</v>
      </c>
    </row>
    <row r="9232" spans="1:5" x14ac:dyDescent="0.25">
      <c r="A9232" s="5">
        <f>9224</f>
      </c>
      <c r="B9232" s="5" t="s">
        <v>8475</v>
      </c>
      <c r="C9232" s="5" t="s">
        <v>11</v>
      </c>
      <c r="D9232" s="5" t="s">
        <v>12</v>
      </c>
      <c r="E9232" s="5" t="s">
        <v>3962</v>
      </c>
    </row>
    <row r="9233" spans="1:5" x14ac:dyDescent="0.25">
      <c r="A9233" s="5">
        <f>9225</f>
      </c>
      <c r="B9233" s="5" t="s">
        <v>8476</v>
      </c>
      <c r="C9233" s="5" t="s">
        <v>11</v>
      </c>
      <c r="D9233" s="5" t="s">
        <v>12</v>
      </c>
      <c r="E9233" s="5" t="s">
        <v>3962</v>
      </c>
    </row>
    <row r="9234" spans="1:5" x14ac:dyDescent="0.25">
      <c r="A9234" s="5">
        <f>9226</f>
      </c>
      <c r="B9234" s="5" t="s">
        <v>8477</v>
      </c>
      <c r="C9234" s="5" t="s">
        <v>11</v>
      </c>
      <c r="D9234" s="5" t="s">
        <v>12</v>
      </c>
      <c r="E9234" s="5" t="s">
        <v>3962</v>
      </c>
    </row>
    <row r="9235" spans="1:5" x14ac:dyDescent="0.25">
      <c r="A9235" s="5">
        <f>9227</f>
      </c>
      <c r="B9235" s="5" t="s">
        <v>8478</v>
      </c>
      <c r="C9235" s="5" t="s">
        <v>11</v>
      </c>
      <c r="D9235" s="5" t="s">
        <v>12</v>
      </c>
      <c r="E9235" s="5" t="s">
        <v>3962</v>
      </c>
    </row>
    <row r="9236" spans="1:5" x14ac:dyDescent="0.25">
      <c r="A9236" s="5">
        <f>9228</f>
      </c>
      <c r="B9236" s="5" t="s">
        <v>8479</v>
      </c>
      <c r="C9236" s="5" t="s">
        <v>11</v>
      </c>
      <c r="D9236" s="5" t="s">
        <v>12</v>
      </c>
      <c r="E9236" s="5" t="s">
        <v>3962</v>
      </c>
    </row>
    <row r="9237" spans="1:5" x14ac:dyDescent="0.25">
      <c r="A9237" s="5">
        <f>9229</f>
      </c>
      <c r="B9237" s="5" t="s">
        <v>8480</v>
      </c>
      <c r="C9237" s="5" t="s">
        <v>11</v>
      </c>
      <c r="D9237" s="5" t="s">
        <v>12</v>
      </c>
      <c r="E9237" s="5" t="s">
        <v>3962</v>
      </c>
    </row>
    <row r="9238" spans="1:5" x14ac:dyDescent="0.25">
      <c r="A9238" s="5">
        <f>9230</f>
      </c>
      <c r="B9238" s="5" t="s">
        <v>8481</v>
      </c>
      <c r="C9238" s="5" t="s">
        <v>11</v>
      </c>
      <c r="D9238" s="5" t="s">
        <v>12</v>
      </c>
      <c r="E9238" s="5" t="s">
        <v>3962</v>
      </c>
    </row>
    <row r="9239" spans="1:5" x14ac:dyDescent="0.25">
      <c r="A9239" s="5">
        <f>9231</f>
      </c>
      <c r="B9239" s="5" t="s">
        <v>8482</v>
      </c>
      <c r="C9239" s="5" t="s">
        <v>11</v>
      </c>
      <c r="D9239" s="5" t="s">
        <v>12</v>
      </c>
      <c r="E9239" s="5" t="s">
        <v>3962</v>
      </c>
    </row>
    <row r="9240" spans="1:5" x14ac:dyDescent="0.25">
      <c r="A9240" s="5">
        <f>9232</f>
      </c>
      <c r="B9240" s="5" t="s">
        <v>8483</v>
      </c>
      <c r="C9240" s="5" t="s">
        <v>11</v>
      </c>
      <c r="D9240" s="5" t="s">
        <v>12</v>
      </c>
      <c r="E9240" s="5" t="s">
        <v>3962</v>
      </c>
    </row>
    <row r="9241" spans="1:5" x14ac:dyDescent="0.25">
      <c r="A9241" s="5">
        <f>9233</f>
      </c>
      <c r="B9241" s="5" t="s">
        <v>8484</v>
      </c>
      <c r="C9241" s="5" t="s">
        <v>11</v>
      </c>
      <c r="D9241" s="5" t="s">
        <v>12</v>
      </c>
      <c r="E9241" s="5" t="s">
        <v>3962</v>
      </c>
    </row>
    <row r="9242" spans="1:5" x14ac:dyDescent="0.25">
      <c r="A9242" s="5">
        <f>9234</f>
      </c>
      <c r="B9242" s="5" t="s">
        <v>8485</v>
      </c>
      <c r="C9242" s="5" t="s">
        <v>11</v>
      </c>
      <c r="D9242" s="5" t="s">
        <v>12</v>
      </c>
      <c r="E9242" s="5" t="s">
        <v>3962</v>
      </c>
    </row>
    <row r="9243" spans="1:5" x14ac:dyDescent="0.25">
      <c r="A9243" s="5">
        <f>9235</f>
      </c>
      <c r="B9243" s="5" t="s">
        <v>8486</v>
      </c>
      <c r="C9243" s="5" t="s">
        <v>11</v>
      </c>
      <c r="D9243" s="5" t="s">
        <v>12</v>
      </c>
      <c r="E9243" s="5" t="s">
        <v>3962</v>
      </c>
    </row>
    <row r="9244" spans="1:5" x14ac:dyDescent="0.25">
      <c r="A9244" s="5">
        <f>9236</f>
      </c>
      <c r="B9244" s="5" t="s">
        <v>8487</v>
      </c>
      <c r="C9244" s="5" t="s">
        <v>11</v>
      </c>
      <c r="D9244" s="5" t="s">
        <v>12</v>
      </c>
      <c r="E9244" s="5" t="s">
        <v>3962</v>
      </c>
    </row>
    <row r="9245" spans="1:5" x14ac:dyDescent="0.25">
      <c r="A9245" s="5">
        <f>9237</f>
      </c>
      <c r="B9245" s="5" t="s">
        <v>8488</v>
      </c>
      <c r="C9245" s="5" t="s">
        <v>11</v>
      </c>
      <c r="D9245" s="5" t="s">
        <v>12</v>
      </c>
      <c r="E9245" s="5" t="s">
        <v>3962</v>
      </c>
    </row>
    <row r="9246" spans="1:5" x14ac:dyDescent="0.25">
      <c r="A9246" s="5">
        <f>9238</f>
      </c>
      <c r="B9246" s="5" t="s">
        <v>8489</v>
      </c>
      <c r="C9246" s="5" t="s">
        <v>11</v>
      </c>
      <c r="D9246" s="5" t="s">
        <v>12</v>
      </c>
      <c r="E9246" s="5" t="s">
        <v>3962</v>
      </c>
    </row>
    <row r="9247" spans="1:5" x14ac:dyDescent="0.25">
      <c r="A9247" s="5">
        <f>9239</f>
      </c>
      <c r="B9247" s="5" t="s">
        <v>8490</v>
      </c>
      <c r="C9247" s="5" t="s">
        <v>11</v>
      </c>
      <c r="D9247" s="5" t="s">
        <v>12</v>
      </c>
      <c r="E9247" s="5" t="s">
        <v>3962</v>
      </c>
    </row>
    <row r="9248" spans="1:5" x14ac:dyDescent="0.25">
      <c r="A9248" s="5">
        <f>9240</f>
      </c>
      <c r="B9248" s="5" t="s">
        <v>8491</v>
      </c>
      <c r="C9248" s="5" t="s">
        <v>11</v>
      </c>
      <c r="D9248" s="5" t="s">
        <v>12</v>
      </c>
      <c r="E9248" s="5" t="s">
        <v>3962</v>
      </c>
    </row>
    <row r="9249" spans="1:5" x14ac:dyDescent="0.25">
      <c r="A9249" s="5">
        <f>9241</f>
      </c>
      <c r="B9249" s="5" t="s">
        <v>8492</v>
      </c>
      <c r="C9249" s="5" t="s">
        <v>11</v>
      </c>
      <c r="D9249" s="5" t="s">
        <v>12</v>
      </c>
      <c r="E9249" s="5" t="s">
        <v>3962</v>
      </c>
    </row>
    <row r="9250" spans="1:5" x14ac:dyDescent="0.25">
      <c r="A9250" s="5">
        <f>9242</f>
      </c>
      <c r="B9250" s="5" t="s">
        <v>8493</v>
      </c>
      <c r="C9250" s="5" t="s">
        <v>11</v>
      </c>
      <c r="D9250" s="5" t="s">
        <v>12</v>
      </c>
      <c r="E9250" s="5" t="s">
        <v>3962</v>
      </c>
    </row>
    <row r="9251" spans="1:5" x14ac:dyDescent="0.25">
      <c r="A9251" s="5">
        <f>9243</f>
      </c>
      <c r="B9251" s="5" t="s">
        <v>8494</v>
      </c>
      <c r="C9251" s="5" t="s">
        <v>11</v>
      </c>
      <c r="D9251" s="5" t="s">
        <v>12</v>
      </c>
      <c r="E9251" s="5" t="s">
        <v>3962</v>
      </c>
    </row>
    <row r="9252" spans="1:5" x14ac:dyDescent="0.25">
      <c r="A9252" s="5">
        <f>9244</f>
      </c>
      <c r="B9252" s="5" t="s">
        <v>8495</v>
      </c>
      <c r="C9252" s="5" t="s">
        <v>11</v>
      </c>
      <c r="D9252" s="5" t="s">
        <v>12</v>
      </c>
      <c r="E9252" s="5" t="s">
        <v>3962</v>
      </c>
    </row>
    <row r="9253" spans="1:5" x14ac:dyDescent="0.25">
      <c r="A9253" s="5">
        <f>9245</f>
      </c>
      <c r="B9253" s="5" t="s">
        <v>8496</v>
      </c>
      <c r="C9253" s="5" t="s">
        <v>11</v>
      </c>
      <c r="D9253" s="5" t="s">
        <v>12</v>
      </c>
      <c r="E9253" s="5" t="s">
        <v>3962</v>
      </c>
    </row>
    <row r="9254" spans="1:5" x14ac:dyDescent="0.25">
      <c r="A9254" s="5">
        <f>9246</f>
      </c>
      <c r="B9254" s="5" t="s">
        <v>8497</v>
      </c>
      <c r="C9254" s="5" t="s">
        <v>11</v>
      </c>
      <c r="D9254" s="5" t="s">
        <v>12</v>
      </c>
      <c r="E9254" s="5" t="s">
        <v>3962</v>
      </c>
    </row>
    <row r="9255" spans="1:5" x14ac:dyDescent="0.25">
      <c r="A9255" s="5">
        <f>9247</f>
      </c>
      <c r="B9255" s="5" t="s">
        <v>8498</v>
      </c>
      <c r="C9255" s="5" t="s">
        <v>11</v>
      </c>
      <c r="D9255" s="5" t="s">
        <v>12</v>
      </c>
      <c r="E9255" s="5" t="s">
        <v>3962</v>
      </c>
    </row>
    <row r="9256" spans="1:5" x14ac:dyDescent="0.25">
      <c r="A9256" s="5">
        <f>9248</f>
      </c>
      <c r="B9256" s="5" t="s">
        <v>8499</v>
      </c>
      <c r="C9256" s="5" t="s">
        <v>11</v>
      </c>
      <c r="D9256" s="5" t="s">
        <v>12</v>
      </c>
      <c r="E9256" s="5" t="s">
        <v>3962</v>
      </c>
    </row>
    <row r="9257" spans="1:5" x14ac:dyDescent="0.25">
      <c r="A9257" s="5">
        <f>9249</f>
      </c>
      <c r="B9257" s="5" t="s">
        <v>8500</v>
      </c>
      <c r="C9257" s="5" t="s">
        <v>11</v>
      </c>
      <c r="D9257" s="5" t="s">
        <v>12</v>
      </c>
      <c r="E9257" s="5" t="s">
        <v>3962</v>
      </c>
    </row>
    <row r="9258" spans="1:5" x14ac:dyDescent="0.25">
      <c r="A9258" s="5">
        <f>9250</f>
      </c>
      <c r="B9258" s="5" t="s">
        <v>8501</v>
      </c>
      <c r="C9258" s="5" t="s">
        <v>11</v>
      </c>
      <c r="D9258" s="5" t="s">
        <v>12</v>
      </c>
      <c r="E9258" s="5" t="s">
        <v>3962</v>
      </c>
    </row>
    <row r="9259" spans="1:5" x14ac:dyDescent="0.25">
      <c r="A9259" s="5">
        <f>9251</f>
      </c>
      <c r="B9259" s="5" t="s">
        <v>8502</v>
      </c>
      <c r="C9259" s="5" t="s">
        <v>11</v>
      </c>
      <c r="D9259" s="5" t="s">
        <v>12</v>
      </c>
      <c r="E9259" s="5" t="s">
        <v>3962</v>
      </c>
    </row>
    <row r="9260" spans="1:5" x14ac:dyDescent="0.25">
      <c r="A9260" s="5">
        <f>9252</f>
      </c>
      <c r="B9260" s="5" t="s">
        <v>8503</v>
      </c>
      <c r="C9260" s="5" t="s">
        <v>11</v>
      </c>
      <c r="D9260" s="5" t="s">
        <v>12</v>
      </c>
      <c r="E9260" s="5" t="s">
        <v>3962</v>
      </c>
    </row>
    <row r="9261" spans="1:5" x14ac:dyDescent="0.25">
      <c r="A9261" s="5">
        <f>9253</f>
      </c>
      <c r="B9261" s="5" t="s">
        <v>8504</v>
      </c>
      <c r="C9261" s="5" t="s">
        <v>11</v>
      </c>
      <c r="D9261" s="5" t="s">
        <v>12</v>
      </c>
      <c r="E9261" s="5" t="s">
        <v>3962</v>
      </c>
    </row>
    <row r="9262" spans="1:5" x14ac:dyDescent="0.25">
      <c r="A9262" s="5">
        <f>9254</f>
      </c>
      <c r="B9262" s="5" t="s">
        <v>8505</v>
      </c>
      <c r="C9262" s="5" t="s">
        <v>11</v>
      </c>
      <c r="D9262" s="5" t="s">
        <v>12</v>
      </c>
      <c r="E9262" s="5" t="s">
        <v>3962</v>
      </c>
    </row>
    <row r="9263" spans="1:5" x14ac:dyDescent="0.25">
      <c r="A9263" s="5">
        <f>9255</f>
      </c>
      <c r="B9263" s="5" t="s">
        <v>8506</v>
      </c>
      <c r="C9263" s="5" t="s">
        <v>11</v>
      </c>
      <c r="D9263" s="5" t="s">
        <v>12</v>
      </c>
      <c r="E9263" s="5" t="s">
        <v>3962</v>
      </c>
    </row>
    <row r="9264" spans="1:5" x14ac:dyDescent="0.25">
      <c r="A9264" s="5">
        <f>9256</f>
      </c>
      <c r="B9264" s="5" t="s">
        <v>8507</v>
      </c>
      <c r="C9264" s="5" t="s">
        <v>11</v>
      </c>
      <c r="D9264" s="5" t="s">
        <v>12</v>
      </c>
      <c r="E9264" s="5" t="s">
        <v>3962</v>
      </c>
    </row>
    <row r="9265" spans="1:5" x14ac:dyDescent="0.25">
      <c r="A9265" s="5">
        <f>9257</f>
      </c>
      <c r="B9265" s="5" t="s">
        <v>8508</v>
      </c>
      <c r="C9265" s="5" t="s">
        <v>11</v>
      </c>
      <c r="D9265" s="5" t="s">
        <v>12</v>
      </c>
      <c r="E9265" s="5" t="s">
        <v>3962</v>
      </c>
    </row>
    <row r="9266" spans="1:5" x14ac:dyDescent="0.25">
      <c r="A9266" s="5">
        <f>9258</f>
      </c>
      <c r="B9266" s="5" t="s">
        <v>8509</v>
      </c>
      <c r="C9266" s="5" t="s">
        <v>11</v>
      </c>
      <c r="D9266" s="5" t="s">
        <v>12</v>
      </c>
      <c r="E9266" s="5" t="s">
        <v>3962</v>
      </c>
    </row>
    <row r="9267" spans="1:5" x14ac:dyDescent="0.25">
      <c r="A9267" s="5">
        <f>9259</f>
      </c>
      <c r="B9267" s="5" t="s">
        <v>8510</v>
      </c>
      <c r="C9267" s="5" t="s">
        <v>11</v>
      </c>
      <c r="D9267" s="5" t="s">
        <v>12</v>
      </c>
      <c r="E9267" s="5" t="s">
        <v>3962</v>
      </c>
    </row>
    <row r="9268" spans="1:5" x14ac:dyDescent="0.25">
      <c r="A9268" s="5">
        <f>9260</f>
      </c>
      <c r="B9268" s="5" t="s">
        <v>8511</v>
      </c>
      <c r="C9268" s="5" t="s">
        <v>11</v>
      </c>
      <c r="D9268" s="5" t="s">
        <v>12</v>
      </c>
      <c r="E9268" s="5" t="s">
        <v>3962</v>
      </c>
    </row>
    <row r="9269" spans="1:5" x14ac:dyDescent="0.25">
      <c r="A9269" s="5">
        <f>9261</f>
      </c>
      <c r="B9269" s="5" t="s">
        <v>8512</v>
      </c>
      <c r="C9269" s="5" t="s">
        <v>11</v>
      </c>
      <c r="D9269" s="5" t="s">
        <v>12</v>
      </c>
      <c r="E9269" s="5" t="s">
        <v>3962</v>
      </c>
    </row>
    <row r="9270" spans="1:5" x14ac:dyDescent="0.25">
      <c r="A9270" s="5">
        <f>9262</f>
      </c>
      <c r="B9270" s="5" t="s">
        <v>8513</v>
      </c>
      <c r="C9270" s="5" t="s">
        <v>11</v>
      </c>
      <c r="D9270" s="5" t="s">
        <v>12</v>
      </c>
      <c r="E9270" s="5" t="s">
        <v>3962</v>
      </c>
    </row>
    <row r="9271" spans="1:5" x14ac:dyDescent="0.25">
      <c r="A9271" s="5">
        <f>9263</f>
      </c>
      <c r="B9271" s="5" t="s">
        <v>8514</v>
      </c>
      <c r="C9271" s="5" t="s">
        <v>11</v>
      </c>
      <c r="D9271" s="5" t="s">
        <v>12</v>
      </c>
      <c r="E9271" s="5" t="s">
        <v>3962</v>
      </c>
    </row>
    <row r="9272" spans="1:5" x14ac:dyDescent="0.25">
      <c r="A9272" s="5">
        <f>9264</f>
      </c>
      <c r="B9272" s="5" t="s">
        <v>8515</v>
      </c>
      <c r="C9272" s="5" t="s">
        <v>11</v>
      </c>
      <c r="D9272" s="5" t="s">
        <v>12</v>
      </c>
      <c r="E9272" s="5" t="s">
        <v>3962</v>
      </c>
    </row>
    <row r="9273" spans="1:5" x14ac:dyDescent="0.25">
      <c r="A9273" s="5">
        <f>9265</f>
      </c>
      <c r="B9273" s="5" t="s">
        <v>8516</v>
      </c>
      <c r="C9273" s="5" t="s">
        <v>11</v>
      </c>
      <c r="D9273" s="5" t="s">
        <v>12</v>
      </c>
      <c r="E9273" s="5" t="s">
        <v>3962</v>
      </c>
    </row>
    <row r="9274" spans="1:5" x14ac:dyDescent="0.25">
      <c r="A9274" s="5">
        <f>9266</f>
      </c>
      <c r="B9274" s="5" t="s">
        <v>8517</v>
      </c>
      <c r="C9274" s="5" t="s">
        <v>11</v>
      </c>
      <c r="D9274" s="5" t="s">
        <v>12</v>
      </c>
      <c r="E9274" s="5" t="s">
        <v>3962</v>
      </c>
    </row>
    <row r="9275" spans="1:5" x14ac:dyDescent="0.25">
      <c r="A9275" s="5">
        <f>9267</f>
      </c>
      <c r="B9275" s="5" t="s">
        <v>8518</v>
      </c>
      <c r="C9275" s="5" t="s">
        <v>11</v>
      </c>
      <c r="D9275" s="5" t="s">
        <v>12</v>
      </c>
      <c r="E9275" s="5" t="s">
        <v>3962</v>
      </c>
    </row>
    <row r="9276" spans="1:5" x14ac:dyDescent="0.25">
      <c r="A9276" s="5">
        <f>9268</f>
      </c>
      <c r="B9276" s="5" t="s">
        <v>8519</v>
      </c>
      <c r="C9276" s="5" t="s">
        <v>11</v>
      </c>
      <c r="D9276" s="5" t="s">
        <v>12</v>
      </c>
      <c r="E9276" s="5" t="s">
        <v>3962</v>
      </c>
    </row>
    <row r="9277" spans="1:5" x14ac:dyDescent="0.25">
      <c r="A9277" s="5">
        <f>9269</f>
      </c>
      <c r="B9277" s="5" t="s">
        <v>8520</v>
      </c>
      <c r="C9277" s="5" t="s">
        <v>11</v>
      </c>
      <c r="D9277" s="5" t="s">
        <v>12</v>
      </c>
      <c r="E9277" s="5" t="s">
        <v>3962</v>
      </c>
    </row>
    <row r="9278" spans="1:5" x14ac:dyDescent="0.25">
      <c r="A9278" s="5">
        <f>9270</f>
      </c>
      <c r="B9278" s="5" t="s">
        <v>8521</v>
      </c>
      <c r="C9278" s="5" t="s">
        <v>11</v>
      </c>
      <c r="D9278" s="5" t="s">
        <v>12</v>
      </c>
      <c r="E9278" s="5" t="s">
        <v>3962</v>
      </c>
    </row>
    <row r="9279" spans="1:5" x14ac:dyDescent="0.25">
      <c r="A9279" s="5">
        <f>9271</f>
      </c>
      <c r="B9279" s="5" t="s">
        <v>8522</v>
      </c>
      <c r="C9279" s="5" t="s">
        <v>11</v>
      </c>
      <c r="D9279" s="5" t="s">
        <v>12</v>
      </c>
      <c r="E9279" s="5" t="s">
        <v>3962</v>
      </c>
    </row>
    <row r="9280" spans="1:5" x14ac:dyDescent="0.25">
      <c r="A9280" s="5">
        <f>9272</f>
      </c>
      <c r="B9280" s="5" t="s">
        <v>8523</v>
      </c>
      <c r="C9280" s="5" t="s">
        <v>11</v>
      </c>
      <c r="D9280" s="5" t="s">
        <v>12</v>
      </c>
      <c r="E9280" s="5" t="s">
        <v>3962</v>
      </c>
    </row>
    <row r="9281" spans="1:5" x14ac:dyDescent="0.25">
      <c r="A9281" s="5">
        <f>9273</f>
      </c>
      <c r="B9281" s="5" t="s">
        <v>8524</v>
      </c>
      <c r="C9281" s="5" t="s">
        <v>11</v>
      </c>
      <c r="D9281" s="5" t="s">
        <v>12</v>
      </c>
      <c r="E9281" s="5" t="s">
        <v>3962</v>
      </c>
    </row>
    <row r="9282" spans="1:5" x14ac:dyDescent="0.25">
      <c r="A9282" s="5">
        <f>9274</f>
      </c>
      <c r="B9282" s="5" t="s">
        <v>8525</v>
      </c>
      <c r="C9282" s="5" t="s">
        <v>11</v>
      </c>
      <c r="D9282" s="5" t="s">
        <v>12</v>
      </c>
      <c r="E9282" s="5" t="s">
        <v>3962</v>
      </c>
    </row>
    <row r="9283" spans="1:5" x14ac:dyDescent="0.25">
      <c r="A9283" s="5">
        <f>9275</f>
      </c>
      <c r="B9283" s="5" t="s">
        <v>8526</v>
      </c>
      <c r="C9283" s="5" t="s">
        <v>11</v>
      </c>
      <c r="D9283" s="5" t="s">
        <v>12</v>
      </c>
      <c r="E9283" s="5" t="s">
        <v>3962</v>
      </c>
    </row>
    <row r="9284" spans="1:5" x14ac:dyDescent="0.25">
      <c r="A9284" s="5">
        <f>9276</f>
      </c>
      <c r="B9284" s="5" t="s">
        <v>8527</v>
      </c>
      <c r="C9284" s="5" t="s">
        <v>11</v>
      </c>
      <c r="D9284" s="5" t="s">
        <v>12</v>
      </c>
      <c r="E9284" s="5" t="s">
        <v>3962</v>
      </c>
    </row>
    <row r="9285" spans="1:5" x14ac:dyDescent="0.25">
      <c r="A9285" s="5">
        <f>9277</f>
      </c>
      <c r="B9285" s="5" t="s">
        <v>8528</v>
      </c>
      <c r="C9285" s="5" t="s">
        <v>11</v>
      </c>
      <c r="D9285" s="5" t="s">
        <v>12</v>
      </c>
      <c r="E9285" s="5" t="s">
        <v>3962</v>
      </c>
    </row>
    <row r="9286" spans="1:5" x14ac:dyDescent="0.25">
      <c r="A9286" s="5">
        <f>9278</f>
      </c>
      <c r="B9286" s="5" t="s">
        <v>8529</v>
      </c>
      <c r="C9286" s="5" t="s">
        <v>11</v>
      </c>
      <c r="D9286" s="5" t="s">
        <v>12</v>
      </c>
      <c r="E9286" s="5" t="s">
        <v>3962</v>
      </c>
    </row>
    <row r="9287" spans="1:5" x14ac:dyDescent="0.25">
      <c r="A9287" s="5">
        <f>9279</f>
      </c>
      <c r="B9287" s="5" t="s">
        <v>8530</v>
      </c>
      <c r="C9287" s="5" t="s">
        <v>11</v>
      </c>
      <c r="D9287" s="5" t="s">
        <v>12</v>
      </c>
      <c r="E9287" s="5" t="s">
        <v>3962</v>
      </c>
    </row>
    <row r="9288" spans="1:5" x14ac:dyDescent="0.25">
      <c r="A9288" s="5">
        <f>9280</f>
      </c>
      <c r="B9288" s="5" t="s">
        <v>8531</v>
      </c>
      <c r="C9288" s="5" t="s">
        <v>11</v>
      </c>
      <c r="D9288" s="5" t="s">
        <v>12</v>
      </c>
      <c r="E9288" s="5" t="s">
        <v>3962</v>
      </c>
    </row>
    <row r="9289" spans="1:5" x14ac:dyDescent="0.25">
      <c r="A9289" s="5">
        <f>9281</f>
      </c>
      <c r="B9289" s="5" t="s">
        <v>8532</v>
      </c>
      <c r="C9289" s="5" t="s">
        <v>11</v>
      </c>
      <c r="D9289" s="5" t="s">
        <v>12</v>
      </c>
      <c r="E9289" s="5" t="s">
        <v>3962</v>
      </c>
    </row>
    <row r="9290" spans="1:5" x14ac:dyDescent="0.25">
      <c r="A9290" s="5">
        <f>9282</f>
      </c>
      <c r="B9290" s="5" t="s">
        <v>8533</v>
      </c>
      <c r="C9290" s="5" t="s">
        <v>11</v>
      </c>
      <c r="D9290" s="5" t="s">
        <v>12</v>
      </c>
      <c r="E9290" s="5" t="s">
        <v>3962</v>
      </c>
    </row>
    <row r="9291" spans="1:5" x14ac:dyDescent="0.25">
      <c r="A9291" s="5">
        <f>9283</f>
      </c>
      <c r="B9291" s="5" t="s">
        <v>8534</v>
      </c>
      <c r="C9291" s="5" t="s">
        <v>11</v>
      </c>
      <c r="D9291" s="5" t="s">
        <v>12</v>
      </c>
      <c r="E9291" s="5" t="s">
        <v>3962</v>
      </c>
    </row>
    <row r="9292" spans="1:5" x14ac:dyDescent="0.25">
      <c r="A9292" s="5">
        <f>9284</f>
      </c>
      <c r="B9292" s="5" t="s">
        <v>8535</v>
      </c>
      <c r="C9292" s="5" t="s">
        <v>11</v>
      </c>
      <c r="D9292" s="5" t="s">
        <v>12</v>
      </c>
      <c r="E9292" s="5" t="s">
        <v>3962</v>
      </c>
    </row>
    <row r="9293" spans="1:5" x14ac:dyDescent="0.25">
      <c r="A9293" s="5">
        <f>9285</f>
      </c>
      <c r="B9293" s="5" t="s">
        <v>8536</v>
      </c>
      <c r="C9293" s="5" t="s">
        <v>11</v>
      </c>
      <c r="D9293" s="5" t="s">
        <v>12</v>
      </c>
      <c r="E9293" s="5" t="s">
        <v>3962</v>
      </c>
    </row>
    <row r="9294" spans="1:5" x14ac:dyDescent="0.25">
      <c r="A9294" s="5">
        <f>9286</f>
      </c>
      <c r="B9294" s="5" t="s">
        <v>8537</v>
      </c>
      <c r="C9294" s="5" t="s">
        <v>11</v>
      </c>
      <c r="D9294" s="5" t="s">
        <v>12</v>
      </c>
      <c r="E9294" s="5" t="s">
        <v>3962</v>
      </c>
    </row>
    <row r="9295" spans="1:5" x14ac:dyDescent="0.25">
      <c r="A9295" s="5">
        <f>9287</f>
      </c>
      <c r="B9295" s="5" t="s">
        <v>8538</v>
      </c>
      <c r="C9295" s="5" t="s">
        <v>11</v>
      </c>
      <c r="D9295" s="5" t="s">
        <v>12</v>
      </c>
      <c r="E9295" s="5" t="s">
        <v>3962</v>
      </c>
    </row>
    <row r="9296" spans="1:5" x14ac:dyDescent="0.25">
      <c r="A9296" s="5">
        <f>9288</f>
      </c>
      <c r="B9296" s="5" t="s">
        <v>8539</v>
      </c>
      <c r="C9296" s="5" t="s">
        <v>11</v>
      </c>
      <c r="D9296" s="5" t="s">
        <v>12</v>
      </c>
      <c r="E9296" s="5" t="s">
        <v>3962</v>
      </c>
    </row>
    <row r="9297" spans="1:5" x14ac:dyDescent="0.25">
      <c r="A9297" s="5">
        <f>9289</f>
      </c>
      <c r="B9297" s="5" t="s">
        <v>8540</v>
      </c>
      <c r="C9297" s="5" t="s">
        <v>11</v>
      </c>
      <c r="D9297" s="5" t="s">
        <v>12</v>
      </c>
      <c r="E9297" s="5" t="s">
        <v>3962</v>
      </c>
    </row>
    <row r="9298" spans="1:5" x14ac:dyDescent="0.25">
      <c r="A9298" s="5">
        <f>9290</f>
      </c>
      <c r="B9298" s="5" t="s">
        <v>8541</v>
      </c>
      <c r="C9298" s="5" t="s">
        <v>11</v>
      </c>
      <c r="D9298" s="5" t="s">
        <v>12</v>
      </c>
      <c r="E9298" s="5" t="s">
        <v>3962</v>
      </c>
    </row>
    <row r="9299" spans="1:5" x14ac:dyDescent="0.25">
      <c r="A9299" s="5">
        <f>9291</f>
      </c>
      <c r="B9299" s="5" t="s">
        <v>8542</v>
      </c>
      <c r="C9299" s="5" t="s">
        <v>11</v>
      </c>
      <c r="D9299" s="5" t="s">
        <v>12</v>
      </c>
      <c r="E9299" s="5" t="s">
        <v>3962</v>
      </c>
    </row>
    <row r="9300" spans="1:5" x14ac:dyDescent="0.25">
      <c r="A9300" s="5">
        <f>9292</f>
      </c>
      <c r="B9300" s="5" t="s">
        <v>8543</v>
      </c>
      <c r="C9300" s="5" t="s">
        <v>11</v>
      </c>
      <c r="D9300" s="5" t="s">
        <v>12</v>
      </c>
      <c r="E9300" s="5" t="s">
        <v>3962</v>
      </c>
    </row>
    <row r="9301" spans="1:5" x14ac:dyDescent="0.25">
      <c r="A9301" s="5">
        <f>9293</f>
      </c>
      <c r="B9301" s="5" t="s">
        <v>8544</v>
      </c>
      <c r="C9301" s="5" t="s">
        <v>11</v>
      </c>
      <c r="D9301" s="5" t="s">
        <v>12</v>
      </c>
      <c r="E9301" s="5" t="s">
        <v>3962</v>
      </c>
    </row>
    <row r="9302" spans="1:5" x14ac:dyDescent="0.25">
      <c r="A9302" s="5">
        <f>9294</f>
      </c>
      <c r="B9302" s="5" t="s">
        <v>8545</v>
      </c>
      <c r="C9302" s="5" t="s">
        <v>11</v>
      </c>
      <c r="D9302" s="5" t="s">
        <v>12</v>
      </c>
      <c r="E9302" s="5" t="s">
        <v>3962</v>
      </c>
    </row>
    <row r="9303" spans="1:5" x14ac:dyDescent="0.25">
      <c r="A9303" s="5">
        <f>9295</f>
      </c>
      <c r="B9303" s="5" t="s">
        <v>8546</v>
      </c>
      <c r="C9303" s="5" t="s">
        <v>11</v>
      </c>
      <c r="D9303" s="5" t="s">
        <v>12</v>
      </c>
      <c r="E9303" s="5" t="s">
        <v>3962</v>
      </c>
    </row>
    <row r="9304" spans="1:5" x14ac:dyDescent="0.25">
      <c r="A9304" s="5">
        <f>9296</f>
      </c>
      <c r="B9304" s="5" t="s">
        <v>8547</v>
      </c>
      <c r="C9304" s="5" t="s">
        <v>11</v>
      </c>
      <c r="D9304" s="5" t="s">
        <v>12</v>
      </c>
      <c r="E9304" s="5" t="s">
        <v>3962</v>
      </c>
    </row>
    <row r="9305" spans="1:5" x14ac:dyDescent="0.25">
      <c r="A9305" s="5">
        <f>9297</f>
      </c>
      <c r="B9305" s="5" t="s">
        <v>8548</v>
      </c>
      <c r="C9305" s="5" t="s">
        <v>11</v>
      </c>
      <c r="D9305" s="5" t="s">
        <v>12</v>
      </c>
      <c r="E9305" s="5" t="s">
        <v>3962</v>
      </c>
    </row>
    <row r="9306" spans="1:5" x14ac:dyDescent="0.25">
      <c r="A9306" s="5">
        <f>9298</f>
      </c>
      <c r="B9306" s="5" t="s">
        <v>8549</v>
      </c>
      <c r="C9306" s="5" t="s">
        <v>11</v>
      </c>
      <c r="D9306" s="5" t="s">
        <v>12</v>
      </c>
      <c r="E9306" s="5" t="s">
        <v>3962</v>
      </c>
    </row>
    <row r="9307" spans="1:5" x14ac:dyDescent="0.25">
      <c r="A9307" s="5">
        <f>9299</f>
      </c>
      <c r="B9307" s="5" t="s">
        <v>8550</v>
      </c>
      <c r="C9307" s="5" t="s">
        <v>11</v>
      </c>
      <c r="D9307" s="5" t="s">
        <v>12</v>
      </c>
      <c r="E9307" s="5" t="s">
        <v>3962</v>
      </c>
    </row>
    <row r="9308" spans="1:5" x14ac:dyDescent="0.25">
      <c r="A9308" s="5">
        <f>9300</f>
      </c>
      <c r="B9308" s="5" t="s">
        <v>8551</v>
      </c>
      <c r="C9308" s="5" t="s">
        <v>11</v>
      </c>
      <c r="D9308" s="5" t="s">
        <v>12</v>
      </c>
      <c r="E9308" s="5" t="s">
        <v>3962</v>
      </c>
    </row>
    <row r="9309" spans="1:5" x14ac:dyDescent="0.25">
      <c r="A9309" s="5">
        <f>9301</f>
      </c>
      <c r="B9309" s="5" t="s">
        <v>8552</v>
      </c>
      <c r="C9309" s="5" t="s">
        <v>11</v>
      </c>
      <c r="D9309" s="5" t="s">
        <v>12</v>
      </c>
      <c r="E9309" s="5" t="s">
        <v>3962</v>
      </c>
    </row>
    <row r="9310" spans="1:5" x14ac:dyDescent="0.25">
      <c r="A9310" s="5">
        <f>9302</f>
      </c>
      <c r="B9310" s="5" t="s">
        <v>8553</v>
      </c>
      <c r="C9310" s="5" t="s">
        <v>11</v>
      </c>
      <c r="D9310" s="5" t="s">
        <v>12</v>
      </c>
      <c r="E9310" s="5" t="s">
        <v>3962</v>
      </c>
    </row>
    <row r="9311" spans="1:5" x14ac:dyDescent="0.25">
      <c r="A9311" s="5">
        <f>9303</f>
      </c>
      <c r="B9311" s="5" t="s">
        <v>8554</v>
      </c>
      <c r="C9311" s="5" t="s">
        <v>11</v>
      </c>
      <c r="D9311" s="5" t="s">
        <v>12</v>
      </c>
      <c r="E9311" s="5" t="s">
        <v>3962</v>
      </c>
    </row>
    <row r="9312" spans="1:5" x14ac:dyDescent="0.25">
      <c r="A9312" s="5">
        <f>9304</f>
      </c>
      <c r="B9312" s="5" t="s">
        <v>8555</v>
      </c>
      <c r="C9312" s="5" t="s">
        <v>11</v>
      </c>
      <c r="D9312" s="5" t="s">
        <v>12</v>
      </c>
      <c r="E9312" s="5" t="s">
        <v>3962</v>
      </c>
    </row>
    <row r="9313" spans="1:5" x14ac:dyDescent="0.25">
      <c r="A9313" s="5">
        <f>9305</f>
      </c>
      <c r="B9313" s="5" t="s">
        <v>8556</v>
      </c>
      <c r="C9313" s="5" t="s">
        <v>11</v>
      </c>
      <c r="D9313" s="5" t="s">
        <v>12</v>
      </c>
      <c r="E9313" s="5" t="s">
        <v>3962</v>
      </c>
    </row>
    <row r="9314" spans="1:5" x14ac:dyDescent="0.25">
      <c r="A9314" s="5">
        <f>9306</f>
      </c>
      <c r="B9314" s="5" t="s">
        <v>8557</v>
      </c>
      <c r="C9314" s="5" t="s">
        <v>11</v>
      </c>
      <c r="D9314" s="5" t="s">
        <v>12</v>
      </c>
      <c r="E9314" s="5" t="s">
        <v>3962</v>
      </c>
    </row>
    <row r="9315" spans="1:5" x14ac:dyDescent="0.25">
      <c r="A9315" s="5">
        <f>9307</f>
      </c>
      <c r="B9315" s="5" t="s">
        <v>8558</v>
      </c>
      <c r="C9315" s="5" t="s">
        <v>11</v>
      </c>
      <c r="D9315" s="5" t="s">
        <v>12</v>
      </c>
      <c r="E9315" s="5" t="s">
        <v>3962</v>
      </c>
    </row>
    <row r="9316" spans="1:5" x14ac:dyDescent="0.25">
      <c r="A9316" s="5">
        <f>9308</f>
      </c>
      <c r="B9316" s="5" t="s">
        <v>8559</v>
      </c>
      <c r="C9316" s="5" t="s">
        <v>11</v>
      </c>
      <c r="D9316" s="5" t="s">
        <v>12</v>
      </c>
      <c r="E9316" s="5" t="s">
        <v>3962</v>
      </c>
    </row>
    <row r="9317" spans="1:5" x14ac:dyDescent="0.25">
      <c r="A9317" s="5">
        <f>9309</f>
      </c>
      <c r="B9317" s="5" t="s">
        <v>8560</v>
      </c>
      <c r="C9317" s="5" t="s">
        <v>11</v>
      </c>
      <c r="D9317" s="5" t="s">
        <v>12</v>
      </c>
      <c r="E9317" s="5" t="s">
        <v>3962</v>
      </c>
    </row>
    <row r="9318" spans="1:5" x14ac:dyDescent="0.25">
      <c r="A9318" s="5">
        <f>9310</f>
      </c>
      <c r="B9318" s="5" t="s">
        <v>8561</v>
      </c>
      <c r="C9318" s="5" t="s">
        <v>11</v>
      </c>
      <c r="D9318" s="5" t="s">
        <v>12</v>
      </c>
      <c r="E9318" s="5" t="s">
        <v>3962</v>
      </c>
    </row>
    <row r="9319" spans="1:5" x14ac:dyDescent="0.25">
      <c r="A9319" s="5">
        <f>9311</f>
      </c>
      <c r="B9319" s="5" t="s">
        <v>8562</v>
      </c>
      <c r="C9319" s="5" t="s">
        <v>11</v>
      </c>
      <c r="D9319" s="5" t="s">
        <v>12</v>
      </c>
      <c r="E9319" s="5" t="s">
        <v>3962</v>
      </c>
    </row>
    <row r="9320" spans="1:5" x14ac:dyDescent="0.25">
      <c r="A9320" s="5">
        <f>9312</f>
      </c>
      <c r="B9320" s="5" t="s">
        <v>8563</v>
      </c>
      <c r="C9320" s="5" t="s">
        <v>11</v>
      </c>
      <c r="D9320" s="5" t="s">
        <v>12</v>
      </c>
      <c r="E9320" s="5" t="s">
        <v>3962</v>
      </c>
    </row>
    <row r="9321" spans="1:5" x14ac:dyDescent="0.25">
      <c r="A9321" s="5">
        <f>9313</f>
      </c>
      <c r="B9321" s="5" t="s">
        <v>8564</v>
      </c>
      <c r="C9321" s="5" t="s">
        <v>11</v>
      </c>
      <c r="D9321" s="5" t="s">
        <v>12</v>
      </c>
      <c r="E9321" s="5" t="s">
        <v>3962</v>
      </c>
    </row>
    <row r="9322" spans="1:5" x14ac:dyDescent="0.25">
      <c r="A9322" s="5">
        <f>9314</f>
      </c>
      <c r="B9322" s="5" t="s">
        <v>8565</v>
      </c>
      <c r="C9322" s="5" t="s">
        <v>11</v>
      </c>
      <c r="D9322" s="5" t="s">
        <v>12</v>
      </c>
      <c r="E9322" s="5" t="s">
        <v>3962</v>
      </c>
    </row>
    <row r="9323" spans="1:5" x14ac:dyDescent="0.25">
      <c r="A9323" s="5">
        <f>9315</f>
      </c>
      <c r="B9323" s="5" t="s">
        <v>8566</v>
      </c>
      <c r="C9323" s="5" t="s">
        <v>11</v>
      </c>
      <c r="D9323" s="5" t="s">
        <v>12</v>
      </c>
      <c r="E9323" s="5" t="s">
        <v>3962</v>
      </c>
    </row>
    <row r="9324" spans="1:5" x14ac:dyDescent="0.25">
      <c r="A9324" s="5">
        <f>9316</f>
      </c>
      <c r="B9324" s="5" t="s">
        <v>8567</v>
      </c>
      <c r="C9324" s="5" t="s">
        <v>11</v>
      </c>
      <c r="D9324" s="5" t="s">
        <v>12</v>
      </c>
      <c r="E9324" s="5" t="s">
        <v>3962</v>
      </c>
    </row>
    <row r="9325" spans="1:5" x14ac:dyDescent="0.25">
      <c r="A9325" s="5">
        <f>9317</f>
      </c>
      <c r="B9325" s="5" t="s">
        <v>8568</v>
      </c>
      <c r="C9325" s="5" t="s">
        <v>11</v>
      </c>
      <c r="D9325" s="5" t="s">
        <v>12</v>
      </c>
      <c r="E9325" s="5" t="s">
        <v>3962</v>
      </c>
    </row>
    <row r="9326" spans="1:5" x14ac:dyDescent="0.25">
      <c r="A9326" s="5">
        <f>9318</f>
      </c>
      <c r="B9326" s="5" t="s">
        <v>8569</v>
      </c>
      <c r="C9326" s="5" t="s">
        <v>11</v>
      </c>
      <c r="D9326" s="5" t="s">
        <v>12</v>
      </c>
      <c r="E9326" s="5" t="s">
        <v>3962</v>
      </c>
    </row>
    <row r="9327" spans="1:5" x14ac:dyDescent="0.25">
      <c r="A9327" s="5">
        <f>9319</f>
      </c>
      <c r="B9327" s="5" t="s">
        <v>8570</v>
      </c>
      <c r="C9327" s="5" t="s">
        <v>11</v>
      </c>
      <c r="D9327" s="5" t="s">
        <v>12</v>
      </c>
      <c r="E9327" s="5" t="s">
        <v>3962</v>
      </c>
    </row>
    <row r="9328" spans="1:5" x14ac:dyDescent="0.25">
      <c r="A9328" s="5">
        <f>9320</f>
      </c>
      <c r="B9328" s="5" t="s">
        <v>8571</v>
      </c>
      <c r="C9328" s="5" t="s">
        <v>11</v>
      </c>
      <c r="D9328" s="5" t="s">
        <v>12</v>
      </c>
      <c r="E9328" s="5" t="s">
        <v>3962</v>
      </c>
    </row>
    <row r="9329" spans="1:5" x14ac:dyDescent="0.25">
      <c r="A9329" s="5">
        <f>9321</f>
      </c>
      <c r="B9329" s="5" t="s">
        <v>8572</v>
      </c>
      <c r="C9329" s="5" t="s">
        <v>11</v>
      </c>
      <c r="D9329" s="5" t="s">
        <v>12</v>
      </c>
      <c r="E9329" s="5" t="s">
        <v>3962</v>
      </c>
    </row>
    <row r="9330" spans="1:5" x14ac:dyDescent="0.25">
      <c r="A9330" s="5">
        <f>9322</f>
      </c>
      <c r="B9330" s="5" t="s">
        <v>8573</v>
      </c>
      <c r="C9330" s="5" t="s">
        <v>11</v>
      </c>
      <c r="D9330" s="5" t="s">
        <v>12</v>
      </c>
      <c r="E9330" s="5" t="s">
        <v>3962</v>
      </c>
    </row>
    <row r="9331" spans="1:5" x14ac:dyDescent="0.25">
      <c r="A9331" s="5">
        <f>9323</f>
      </c>
      <c r="B9331" s="5" t="s">
        <v>8574</v>
      </c>
      <c r="C9331" s="5" t="s">
        <v>11</v>
      </c>
      <c r="D9331" s="5" t="s">
        <v>12</v>
      </c>
      <c r="E9331" s="5" t="s">
        <v>3962</v>
      </c>
    </row>
    <row r="9332" spans="1:5" x14ac:dyDescent="0.25">
      <c r="A9332" s="5">
        <f>9324</f>
      </c>
      <c r="B9332" s="5" t="s">
        <v>8575</v>
      </c>
      <c r="C9332" s="5" t="s">
        <v>11</v>
      </c>
      <c r="D9332" s="5" t="s">
        <v>12</v>
      </c>
      <c r="E9332" s="5" t="s">
        <v>3962</v>
      </c>
    </row>
    <row r="9333" spans="1:5" x14ac:dyDescent="0.25">
      <c r="A9333" s="5">
        <f>9325</f>
      </c>
      <c r="B9333" s="5" t="s">
        <v>8576</v>
      </c>
      <c r="C9333" s="5" t="s">
        <v>11</v>
      </c>
      <c r="D9333" s="5" t="s">
        <v>12</v>
      </c>
      <c r="E9333" s="5" t="s">
        <v>3962</v>
      </c>
    </row>
    <row r="9334" spans="1:5" x14ac:dyDescent="0.25">
      <c r="A9334" s="5">
        <f>9326</f>
      </c>
      <c r="B9334" s="5" t="s">
        <v>8577</v>
      </c>
      <c r="C9334" s="5" t="s">
        <v>11</v>
      </c>
      <c r="D9334" s="5" t="s">
        <v>12</v>
      </c>
      <c r="E9334" s="5" t="s">
        <v>3962</v>
      </c>
    </row>
    <row r="9335" spans="1:5" x14ac:dyDescent="0.25">
      <c r="A9335" s="5">
        <f>9327</f>
      </c>
      <c r="B9335" s="5" t="s">
        <v>8578</v>
      </c>
      <c r="C9335" s="5" t="s">
        <v>11</v>
      </c>
      <c r="D9335" s="5" t="s">
        <v>12</v>
      </c>
      <c r="E9335" s="5" t="s">
        <v>3962</v>
      </c>
    </row>
    <row r="9336" spans="1:5" x14ac:dyDescent="0.25">
      <c r="A9336" s="5">
        <f>9328</f>
      </c>
      <c r="B9336" s="5" t="s">
        <v>8579</v>
      </c>
      <c r="C9336" s="5" t="s">
        <v>11</v>
      </c>
      <c r="D9336" s="5" t="s">
        <v>12</v>
      </c>
      <c r="E9336" s="5" t="s">
        <v>3962</v>
      </c>
    </row>
    <row r="9337" spans="1:5" x14ac:dyDescent="0.25">
      <c r="A9337" s="5">
        <f>9329</f>
      </c>
      <c r="B9337" s="5" t="s">
        <v>8580</v>
      </c>
      <c r="C9337" s="5" t="s">
        <v>11</v>
      </c>
      <c r="D9337" s="5" t="s">
        <v>12</v>
      </c>
      <c r="E9337" s="5" t="s">
        <v>3962</v>
      </c>
    </row>
    <row r="9338" spans="1:5" x14ac:dyDescent="0.25">
      <c r="A9338" s="5">
        <f>9330</f>
      </c>
      <c r="B9338" s="5" t="s">
        <v>8581</v>
      </c>
      <c r="C9338" s="5" t="s">
        <v>11</v>
      </c>
      <c r="D9338" s="5" t="s">
        <v>12</v>
      </c>
      <c r="E9338" s="5" t="s">
        <v>3962</v>
      </c>
    </row>
    <row r="9339" spans="1:5" x14ac:dyDescent="0.25">
      <c r="A9339" s="5">
        <f>9331</f>
      </c>
      <c r="B9339" s="5" t="s">
        <v>8582</v>
      </c>
      <c r="C9339" s="5" t="s">
        <v>11</v>
      </c>
      <c r="D9339" s="5" t="s">
        <v>12</v>
      </c>
      <c r="E9339" s="5" t="s">
        <v>3962</v>
      </c>
    </row>
    <row r="9340" spans="1:5" x14ac:dyDescent="0.25">
      <c r="A9340" s="5">
        <f>9332</f>
      </c>
      <c r="B9340" s="5" t="s">
        <v>8583</v>
      </c>
      <c r="C9340" s="5" t="s">
        <v>11</v>
      </c>
      <c r="D9340" s="5" t="s">
        <v>12</v>
      </c>
      <c r="E9340" s="5" t="s">
        <v>3962</v>
      </c>
    </row>
    <row r="9341" spans="1:5" x14ac:dyDescent="0.25">
      <c r="A9341" s="5">
        <f>9333</f>
      </c>
      <c r="B9341" s="5" t="s">
        <v>8584</v>
      </c>
      <c r="C9341" s="5" t="s">
        <v>11</v>
      </c>
      <c r="D9341" s="5" t="s">
        <v>12</v>
      </c>
      <c r="E9341" s="5" t="s">
        <v>3962</v>
      </c>
    </row>
    <row r="9342" spans="1:5" x14ac:dyDescent="0.25">
      <c r="A9342" s="5">
        <f>9334</f>
      </c>
      <c r="B9342" s="5" t="s">
        <v>8585</v>
      </c>
      <c r="C9342" s="5" t="s">
        <v>11</v>
      </c>
      <c r="D9342" s="5" t="s">
        <v>12</v>
      </c>
      <c r="E9342" s="5" t="s">
        <v>3962</v>
      </c>
    </row>
    <row r="9343" spans="1:5" x14ac:dyDescent="0.25">
      <c r="A9343" s="5">
        <f>9335</f>
      </c>
      <c r="B9343" s="5" t="s">
        <v>8586</v>
      </c>
      <c r="C9343" s="5" t="s">
        <v>11</v>
      </c>
      <c r="D9343" s="5" t="s">
        <v>12</v>
      </c>
      <c r="E9343" s="5" t="s">
        <v>3962</v>
      </c>
    </row>
    <row r="9344" spans="1:5" x14ac:dyDescent="0.25">
      <c r="A9344" s="5">
        <f>9336</f>
      </c>
      <c r="B9344" s="5" t="s">
        <v>8587</v>
      </c>
      <c r="C9344" s="5" t="s">
        <v>11</v>
      </c>
      <c r="D9344" s="5" t="s">
        <v>12</v>
      </c>
      <c r="E9344" s="5" t="s">
        <v>3962</v>
      </c>
    </row>
    <row r="9345" spans="1:5" x14ac:dyDescent="0.25">
      <c r="A9345" s="5">
        <f>9337</f>
      </c>
      <c r="B9345" s="5" t="s">
        <v>8588</v>
      </c>
      <c r="C9345" s="5" t="s">
        <v>11</v>
      </c>
      <c r="D9345" s="5" t="s">
        <v>12</v>
      </c>
      <c r="E9345" s="5" t="s">
        <v>3962</v>
      </c>
    </row>
    <row r="9346" spans="1:5" x14ac:dyDescent="0.25">
      <c r="A9346" s="5">
        <f>9338</f>
      </c>
      <c r="B9346" s="5" t="s">
        <v>8589</v>
      </c>
      <c r="C9346" s="5" t="s">
        <v>11</v>
      </c>
      <c r="D9346" s="5" t="s">
        <v>12</v>
      </c>
      <c r="E9346" s="5" t="s">
        <v>3962</v>
      </c>
    </row>
    <row r="9347" spans="1:5" x14ac:dyDescent="0.25">
      <c r="A9347" s="5">
        <f>9339</f>
      </c>
      <c r="B9347" s="5" t="s">
        <v>8590</v>
      </c>
      <c r="C9347" s="5" t="s">
        <v>11</v>
      </c>
      <c r="D9347" s="5" t="s">
        <v>12</v>
      </c>
      <c r="E9347" s="5" t="s">
        <v>3962</v>
      </c>
    </row>
    <row r="9348" spans="1:5" x14ac:dyDescent="0.25">
      <c r="A9348" s="5">
        <f>9340</f>
      </c>
      <c r="B9348" s="5" t="s">
        <v>8591</v>
      </c>
      <c r="C9348" s="5" t="s">
        <v>11</v>
      </c>
      <c r="D9348" s="5" t="s">
        <v>12</v>
      </c>
      <c r="E9348" s="5" t="s">
        <v>3962</v>
      </c>
    </row>
    <row r="9349" spans="1:5" x14ac:dyDescent="0.25">
      <c r="A9349" s="5">
        <f>9341</f>
      </c>
      <c r="B9349" s="5" t="s">
        <v>8592</v>
      </c>
      <c r="C9349" s="5" t="s">
        <v>11</v>
      </c>
      <c r="D9349" s="5" t="s">
        <v>12</v>
      </c>
      <c r="E9349" s="5" t="s">
        <v>3962</v>
      </c>
    </row>
    <row r="9350" spans="1:5" x14ac:dyDescent="0.25">
      <c r="A9350" s="5">
        <f>9342</f>
      </c>
      <c r="B9350" s="5" t="s">
        <v>8593</v>
      </c>
      <c r="C9350" s="5" t="s">
        <v>11</v>
      </c>
      <c r="D9350" s="5" t="s">
        <v>12</v>
      </c>
      <c r="E9350" s="5" t="s">
        <v>3962</v>
      </c>
    </row>
    <row r="9351" spans="1:5" x14ac:dyDescent="0.25">
      <c r="A9351" s="5">
        <f>9343</f>
      </c>
      <c r="B9351" s="5" t="s">
        <v>8594</v>
      </c>
      <c r="C9351" s="5" t="s">
        <v>11</v>
      </c>
      <c r="D9351" s="5" t="s">
        <v>12</v>
      </c>
      <c r="E9351" s="5" t="s">
        <v>3962</v>
      </c>
    </row>
    <row r="9352" spans="1:5" x14ac:dyDescent="0.25">
      <c r="A9352" s="5">
        <f>9344</f>
      </c>
      <c r="B9352" s="5" t="s">
        <v>8595</v>
      </c>
      <c r="C9352" s="5" t="s">
        <v>11</v>
      </c>
      <c r="D9352" s="5" t="s">
        <v>12</v>
      </c>
      <c r="E9352" s="5" t="s">
        <v>3962</v>
      </c>
    </row>
    <row r="9353" spans="1:5" x14ac:dyDescent="0.25">
      <c r="A9353" s="5">
        <f>9345</f>
      </c>
      <c r="B9353" s="5" t="s">
        <v>8596</v>
      </c>
      <c r="C9353" s="5" t="s">
        <v>11</v>
      </c>
      <c r="D9353" s="5" t="s">
        <v>12</v>
      </c>
      <c r="E9353" s="5" t="s">
        <v>3962</v>
      </c>
    </row>
    <row r="9354" spans="1:5" x14ac:dyDescent="0.25">
      <c r="A9354" s="5">
        <f>9346</f>
      </c>
      <c r="B9354" s="5" t="s">
        <v>8597</v>
      </c>
      <c r="C9354" s="5" t="s">
        <v>11</v>
      </c>
      <c r="D9354" s="5" t="s">
        <v>12</v>
      </c>
      <c r="E9354" s="5" t="s">
        <v>3962</v>
      </c>
    </row>
    <row r="9355" spans="1:5" x14ac:dyDescent="0.25">
      <c r="A9355" s="5">
        <f>9347</f>
      </c>
      <c r="B9355" s="5" t="s">
        <v>8598</v>
      </c>
      <c r="C9355" s="5" t="s">
        <v>11</v>
      </c>
      <c r="D9355" s="5" t="s">
        <v>12</v>
      </c>
      <c r="E9355" s="5" t="s">
        <v>3962</v>
      </c>
    </row>
    <row r="9356" spans="1:5" x14ac:dyDescent="0.25">
      <c r="A9356" s="5">
        <f>9348</f>
      </c>
      <c r="B9356" s="5" t="s">
        <v>8599</v>
      </c>
      <c r="C9356" s="5" t="s">
        <v>11</v>
      </c>
      <c r="D9356" s="5" t="s">
        <v>12</v>
      </c>
      <c r="E9356" s="5" t="s">
        <v>3962</v>
      </c>
    </row>
    <row r="9357" spans="1:5" x14ac:dyDescent="0.25">
      <c r="A9357" s="5">
        <f>9349</f>
      </c>
      <c r="B9357" s="5" t="s">
        <v>8600</v>
      </c>
      <c r="C9357" s="5" t="s">
        <v>11</v>
      </c>
      <c r="D9357" s="5" t="s">
        <v>12</v>
      </c>
      <c r="E9357" s="5" t="s">
        <v>3962</v>
      </c>
    </row>
    <row r="9358" spans="1:5" x14ac:dyDescent="0.25">
      <c r="A9358" s="5">
        <f>9350</f>
      </c>
      <c r="B9358" s="5" t="s">
        <v>8601</v>
      </c>
      <c r="C9358" s="5" t="s">
        <v>11</v>
      </c>
      <c r="D9358" s="5" t="s">
        <v>12</v>
      </c>
      <c r="E9358" s="5" t="s">
        <v>3962</v>
      </c>
    </row>
    <row r="9359" spans="1:5" x14ac:dyDescent="0.25">
      <c r="A9359" s="5">
        <f>9351</f>
      </c>
      <c r="B9359" s="5" t="s">
        <v>8602</v>
      </c>
      <c r="C9359" s="5" t="s">
        <v>11</v>
      </c>
      <c r="D9359" s="5" t="s">
        <v>12</v>
      </c>
      <c r="E9359" s="5" t="s">
        <v>3962</v>
      </c>
    </row>
    <row r="9360" spans="1:5" x14ac:dyDescent="0.25">
      <c r="A9360" s="5">
        <f>9352</f>
      </c>
      <c r="B9360" s="5" t="s">
        <v>8603</v>
      </c>
      <c r="C9360" s="5" t="s">
        <v>11</v>
      </c>
      <c r="D9360" s="5" t="s">
        <v>12</v>
      </c>
      <c r="E9360" s="5" t="s">
        <v>3962</v>
      </c>
    </row>
    <row r="9361" spans="1:5" x14ac:dyDescent="0.25">
      <c r="A9361" s="5">
        <f>9353</f>
      </c>
      <c r="B9361" s="5" t="s">
        <v>8604</v>
      </c>
      <c r="C9361" s="5" t="s">
        <v>11</v>
      </c>
      <c r="D9361" s="5" t="s">
        <v>12</v>
      </c>
      <c r="E9361" s="5" t="s">
        <v>3962</v>
      </c>
    </row>
    <row r="9362" spans="1:5" x14ac:dyDescent="0.25">
      <c r="A9362" s="5">
        <f>9354</f>
      </c>
      <c r="B9362" s="5" t="s">
        <v>8605</v>
      </c>
      <c r="C9362" s="5" t="s">
        <v>11</v>
      </c>
      <c r="D9362" s="5" t="s">
        <v>12</v>
      </c>
      <c r="E9362" s="5" t="s">
        <v>3962</v>
      </c>
    </row>
    <row r="9363" spans="1:5" x14ac:dyDescent="0.25">
      <c r="A9363" s="5">
        <f>9355</f>
      </c>
      <c r="B9363" s="5" t="s">
        <v>8606</v>
      </c>
      <c r="C9363" s="5" t="s">
        <v>11</v>
      </c>
      <c r="D9363" s="5" t="s">
        <v>12</v>
      </c>
      <c r="E9363" s="5" t="s">
        <v>3962</v>
      </c>
    </row>
    <row r="9364" spans="1:5" x14ac:dyDescent="0.25">
      <c r="A9364" s="5">
        <f>9356</f>
      </c>
      <c r="B9364" s="5" t="s">
        <v>8607</v>
      </c>
      <c r="C9364" s="5" t="s">
        <v>11</v>
      </c>
      <c r="D9364" s="5" t="s">
        <v>12</v>
      </c>
      <c r="E9364" s="5" t="s">
        <v>3962</v>
      </c>
    </row>
    <row r="9365" spans="1:5" x14ac:dyDescent="0.25">
      <c r="A9365" s="5">
        <f>9357</f>
      </c>
      <c r="B9365" s="5" t="s">
        <v>8608</v>
      </c>
      <c r="C9365" s="5" t="s">
        <v>11</v>
      </c>
      <c r="D9365" s="5" t="s">
        <v>12</v>
      </c>
      <c r="E9365" s="5" t="s">
        <v>3962</v>
      </c>
    </row>
    <row r="9366" spans="1:5" x14ac:dyDescent="0.25">
      <c r="A9366" s="5">
        <f>9358</f>
      </c>
      <c r="B9366" s="5" t="s">
        <v>8609</v>
      </c>
      <c r="C9366" s="5" t="s">
        <v>11</v>
      </c>
      <c r="D9366" s="5" t="s">
        <v>12</v>
      </c>
      <c r="E9366" s="5" t="s">
        <v>3962</v>
      </c>
    </row>
    <row r="9367" spans="1:5" x14ac:dyDescent="0.25">
      <c r="A9367" s="5">
        <f>9359</f>
      </c>
      <c r="B9367" s="5" t="s">
        <v>8610</v>
      </c>
      <c r="C9367" s="5" t="s">
        <v>11</v>
      </c>
      <c r="D9367" s="5" t="s">
        <v>12</v>
      </c>
      <c r="E9367" s="5" t="s">
        <v>3962</v>
      </c>
    </row>
    <row r="9368" spans="1:5" x14ac:dyDescent="0.25">
      <c r="A9368" s="5">
        <f>9360</f>
      </c>
      <c r="B9368" s="5" t="s">
        <v>8611</v>
      </c>
      <c r="C9368" s="5" t="s">
        <v>11</v>
      </c>
      <c r="D9368" s="5" t="s">
        <v>12</v>
      </c>
      <c r="E9368" s="5" t="s">
        <v>3962</v>
      </c>
    </row>
    <row r="9369" spans="1:5" x14ac:dyDescent="0.25">
      <c r="A9369" s="5">
        <f>9361</f>
      </c>
      <c r="B9369" s="5" t="s">
        <v>8612</v>
      </c>
      <c r="C9369" s="5" t="s">
        <v>11</v>
      </c>
      <c r="D9369" s="5" t="s">
        <v>12</v>
      </c>
      <c r="E9369" s="5" t="s">
        <v>3962</v>
      </c>
    </row>
    <row r="9370" spans="1:5" x14ac:dyDescent="0.25">
      <c r="A9370" s="5">
        <f>9362</f>
      </c>
      <c r="B9370" s="5" t="s">
        <v>8613</v>
      </c>
      <c r="C9370" s="5" t="s">
        <v>11</v>
      </c>
      <c r="D9370" s="5" t="s">
        <v>12</v>
      </c>
      <c r="E9370" s="5" t="s">
        <v>3962</v>
      </c>
    </row>
    <row r="9371" spans="1:5" x14ac:dyDescent="0.25">
      <c r="A9371" s="5">
        <f>9363</f>
      </c>
      <c r="B9371" s="5" t="s">
        <v>8614</v>
      </c>
      <c r="C9371" s="5" t="s">
        <v>11</v>
      </c>
      <c r="D9371" s="5" t="s">
        <v>12</v>
      </c>
      <c r="E9371" s="5" t="s">
        <v>3962</v>
      </c>
    </row>
    <row r="9372" spans="1:5" x14ac:dyDescent="0.25">
      <c r="A9372" s="5">
        <f>9364</f>
      </c>
      <c r="B9372" s="5" t="s">
        <v>8615</v>
      </c>
      <c r="C9372" s="5" t="s">
        <v>11</v>
      </c>
      <c r="D9372" s="5" t="s">
        <v>12</v>
      </c>
      <c r="E9372" s="5" t="s">
        <v>3962</v>
      </c>
    </row>
    <row r="9373" spans="1:5" x14ac:dyDescent="0.25">
      <c r="A9373" s="5">
        <f>9365</f>
      </c>
      <c r="B9373" s="5" t="s">
        <v>8616</v>
      </c>
      <c r="C9373" s="5" t="s">
        <v>11</v>
      </c>
      <c r="D9373" s="5" t="s">
        <v>12</v>
      </c>
      <c r="E9373" s="5" t="s">
        <v>3962</v>
      </c>
    </row>
    <row r="9374" spans="1:5" x14ac:dyDescent="0.25">
      <c r="A9374" s="5">
        <f>9366</f>
      </c>
      <c r="B9374" s="5" t="s">
        <v>8617</v>
      </c>
      <c r="C9374" s="5" t="s">
        <v>11</v>
      </c>
      <c r="D9374" s="5" t="s">
        <v>12</v>
      </c>
      <c r="E9374" s="5" t="s">
        <v>3962</v>
      </c>
    </row>
    <row r="9375" spans="1:5" x14ac:dyDescent="0.25">
      <c r="A9375" s="5">
        <f>9367</f>
      </c>
      <c r="B9375" s="5" t="s">
        <v>8618</v>
      </c>
      <c r="C9375" s="5" t="s">
        <v>11</v>
      </c>
      <c r="D9375" s="5" t="s">
        <v>12</v>
      </c>
      <c r="E9375" s="5" t="s">
        <v>3962</v>
      </c>
    </row>
    <row r="9376" spans="1:5" x14ac:dyDescent="0.25">
      <c r="A9376" s="5">
        <f>9368</f>
      </c>
      <c r="B9376" s="5" t="s">
        <v>8619</v>
      </c>
      <c r="C9376" s="5" t="s">
        <v>11</v>
      </c>
      <c r="D9376" s="5" t="s">
        <v>12</v>
      </c>
      <c r="E9376" s="5" t="s">
        <v>3962</v>
      </c>
    </row>
    <row r="9377" spans="1:5" x14ac:dyDescent="0.25">
      <c r="A9377" s="5">
        <f>9369</f>
      </c>
      <c r="B9377" s="5" t="s">
        <v>8620</v>
      </c>
      <c r="C9377" s="5" t="s">
        <v>11</v>
      </c>
      <c r="D9377" s="5" t="s">
        <v>12</v>
      </c>
      <c r="E9377" s="5" t="s">
        <v>3962</v>
      </c>
    </row>
    <row r="9378" spans="1:5" x14ac:dyDescent="0.25">
      <c r="A9378" s="5">
        <f>9370</f>
      </c>
      <c r="B9378" s="5" t="s">
        <v>8621</v>
      </c>
      <c r="C9378" s="5" t="s">
        <v>11</v>
      </c>
      <c r="D9378" s="5" t="s">
        <v>12</v>
      </c>
      <c r="E9378" s="5" t="s">
        <v>3962</v>
      </c>
    </row>
    <row r="9379" spans="1:5" x14ac:dyDescent="0.25">
      <c r="A9379" s="5">
        <f>9371</f>
      </c>
      <c r="B9379" s="5" t="s">
        <v>8622</v>
      </c>
      <c r="C9379" s="5" t="s">
        <v>11</v>
      </c>
      <c r="D9379" s="5" t="s">
        <v>12</v>
      </c>
      <c r="E9379" s="5" t="s">
        <v>3962</v>
      </c>
    </row>
    <row r="9380" spans="1:5" x14ac:dyDescent="0.25">
      <c r="A9380" s="5">
        <f>9372</f>
      </c>
      <c r="B9380" s="5" t="s">
        <v>8623</v>
      </c>
      <c r="C9380" s="5" t="s">
        <v>11</v>
      </c>
      <c r="D9380" s="5" t="s">
        <v>12</v>
      </c>
      <c r="E9380" s="5" t="s">
        <v>3962</v>
      </c>
    </row>
    <row r="9381" spans="1:5" x14ac:dyDescent="0.25">
      <c r="A9381" s="5">
        <f>9373</f>
      </c>
      <c r="B9381" s="5" t="s">
        <v>8624</v>
      </c>
      <c r="C9381" s="5" t="s">
        <v>11</v>
      </c>
      <c r="D9381" s="5" t="s">
        <v>12</v>
      </c>
      <c r="E9381" s="5" t="s">
        <v>3962</v>
      </c>
    </row>
    <row r="9382" spans="1:5" x14ac:dyDescent="0.25">
      <c r="A9382" s="5">
        <f>9374</f>
      </c>
      <c r="B9382" s="5" t="s">
        <v>8625</v>
      </c>
      <c r="C9382" s="5" t="s">
        <v>11</v>
      </c>
      <c r="D9382" s="5" t="s">
        <v>12</v>
      </c>
      <c r="E9382" s="5" t="s">
        <v>3962</v>
      </c>
    </row>
    <row r="9383" spans="1:5" x14ac:dyDescent="0.25">
      <c r="A9383" s="5">
        <f>9375</f>
      </c>
      <c r="B9383" s="5" t="s">
        <v>8626</v>
      </c>
      <c r="C9383" s="5" t="s">
        <v>11</v>
      </c>
      <c r="D9383" s="5" t="s">
        <v>12</v>
      </c>
      <c r="E9383" s="5" t="s">
        <v>3962</v>
      </c>
    </row>
    <row r="9384" spans="1:5" x14ac:dyDescent="0.25">
      <c r="A9384" s="5">
        <f>9376</f>
      </c>
      <c r="B9384" s="5" t="s">
        <v>8627</v>
      </c>
      <c r="C9384" s="5" t="s">
        <v>11</v>
      </c>
      <c r="D9384" s="5" t="s">
        <v>12</v>
      </c>
      <c r="E9384" s="5" t="s">
        <v>3962</v>
      </c>
    </row>
    <row r="9385" spans="1:5" x14ac:dyDescent="0.25">
      <c r="A9385" s="5">
        <f>9377</f>
      </c>
      <c r="B9385" s="5" t="s">
        <v>8628</v>
      </c>
      <c r="C9385" s="5" t="s">
        <v>11</v>
      </c>
      <c r="D9385" s="5" t="s">
        <v>12</v>
      </c>
      <c r="E9385" s="5" t="s">
        <v>3962</v>
      </c>
    </row>
    <row r="9386" spans="1:5" x14ac:dyDescent="0.25">
      <c r="A9386" s="5">
        <f>9378</f>
      </c>
      <c r="B9386" s="5" t="s">
        <v>8629</v>
      </c>
      <c r="C9386" s="5" t="s">
        <v>11</v>
      </c>
      <c r="D9386" s="5" t="s">
        <v>12</v>
      </c>
      <c r="E9386" s="5" t="s">
        <v>3962</v>
      </c>
    </row>
    <row r="9387" spans="1:5" x14ac:dyDescent="0.25">
      <c r="A9387" s="5">
        <f>9379</f>
      </c>
      <c r="B9387" s="5" t="s">
        <v>8630</v>
      </c>
      <c r="C9387" s="5" t="s">
        <v>11</v>
      </c>
      <c r="D9387" s="5" t="s">
        <v>12</v>
      </c>
      <c r="E9387" s="5" t="s">
        <v>3962</v>
      </c>
    </row>
    <row r="9388" spans="1:5" x14ac:dyDescent="0.25">
      <c r="A9388" s="5">
        <f>9380</f>
      </c>
      <c r="B9388" s="5" t="s">
        <v>8631</v>
      </c>
      <c r="C9388" s="5" t="s">
        <v>11</v>
      </c>
      <c r="D9388" s="5" t="s">
        <v>12</v>
      </c>
      <c r="E9388" s="5" t="s">
        <v>3962</v>
      </c>
    </row>
    <row r="9389" spans="1:5" x14ac:dyDescent="0.25">
      <c r="A9389" s="5">
        <f>9381</f>
      </c>
      <c r="B9389" s="5" t="s">
        <v>8632</v>
      </c>
      <c r="C9389" s="5" t="s">
        <v>11</v>
      </c>
      <c r="D9389" s="5" t="s">
        <v>12</v>
      </c>
      <c r="E9389" s="5" t="s">
        <v>3962</v>
      </c>
    </row>
    <row r="9390" spans="1:5" x14ac:dyDescent="0.25">
      <c r="A9390" s="5">
        <f>9382</f>
      </c>
      <c r="B9390" s="5" t="s">
        <v>8633</v>
      </c>
      <c r="C9390" s="5" t="s">
        <v>11</v>
      </c>
      <c r="D9390" s="5" t="s">
        <v>12</v>
      </c>
      <c r="E9390" s="5" t="s">
        <v>3962</v>
      </c>
    </row>
    <row r="9391" spans="1:5" x14ac:dyDescent="0.25">
      <c r="A9391" s="5">
        <f>9383</f>
      </c>
      <c r="B9391" s="5" t="s">
        <v>8634</v>
      </c>
      <c r="C9391" s="5" t="s">
        <v>11</v>
      </c>
      <c r="D9391" s="5" t="s">
        <v>12</v>
      </c>
      <c r="E9391" s="5" t="s">
        <v>3962</v>
      </c>
    </row>
    <row r="9392" spans="1:5" x14ac:dyDescent="0.25">
      <c r="A9392" s="5">
        <f>9384</f>
      </c>
      <c r="B9392" s="5" t="s">
        <v>8635</v>
      </c>
      <c r="C9392" s="5" t="s">
        <v>11</v>
      </c>
      <c r="D9392" s="5" t="s">
        <v>12</v>
      </c>
      <c r="E9392" s="5" t="s">
        <v>3962</v>
      </c>
    </row>
    <row r="9393" spans="1:5" x14ac:dyDescent="0.25">
      <c r="A9393" s="5">
        <f>9385</f>
      </c>
      <c r="B9393" s="5" t="s">
        <v>8636</v>
      </c>
      <c r="C9393" s="5" t="s">
        <v>11</v>
      </c>
      <c r="D9393" s="5" t="s">
        <v>12</v>
      </c>
      <c r="E9393" s="5" t="s">
        <v>3962</v>
      </c>
    </row>
    <row r="9394" spans="1:5" x14ac:dyDescent="0.25">
      <c r="A9394" s="5">
        <f>9386</f>
      </c>
      <c r="B9394" s="5" t="s">
        <v>8637</v>
      </c>
      <c r="C9394" s="5" t="s">
        <v>11</v>
      </c>
      <c r="D9394" s="5" t="s">
        <v>12</v>
      </c>
      <c r="E9394" s="5" t="s">
        <v>3962</v>
      </c>
    </row>
    <row r="9395" spans="1:5" x14ac:dyDescent="0.25">
      <c r="A9395" s="5">
        <f>9387</f>
      </c>
      <c r="B9395" s="5" t="s">
        <v>8638</v>
      </c>
      <c r="C9395" s="5" t="s">
        <v>11</v>
      </c>
      <c r="D9395" s="5" t="s">
        <v>12</v>
      </c>
      <c r="E9395" s="5" t="s">
        <v>3962</v>
      </c>
    </row>
    <row r="9396" spans="1:5" x14ac:dyDescent="0.25">
      <c r="A9396" s="5">
        <f>9388</f>
      </c>
      <c r="B9396" s="5" t="s">
        <v>8639</v>
      </c>
      <c r="C9396" s="5" t="s">
        <v>11</v>
      </c>
      <c r="D9396" s="5" t="s">
        <v>12</v>
      </c>
      <c r="E9396" s="5" t="s">
        <v>3962</v>
      </c>
    </row>
    <row r="9397" spans="1:5" x14ac:dyDescent="0.25">
      <c r="A9397" s="5">
        <f>9389</f>
      </c>
      <c r="B9397" s="5" t="s">
        <v>8640</v>
      </c>
      <c r="C9397" s="5" t="s">
        <v>11</v>
      </c>
      <c r="D9397" s="5" t="s">
        <v>12</v>
      </c>
      <c r="E9397" s="5" t="s">
        <v>3962</v>
      </c>
    </row>
    <row r="9398" spans="1:5" x14ac:dyDescent="0.25">
      <c r="A9398" s="5">
        <f>9390</f>
      </c>
      <c r="B9398" s="5" t="s">
        <v>8641</v>
      </c>
      <c r="C9398" s="5" t="s">
        <v>11</v>
      </c>
      <c r="D9398" s="5" t="s">
        <v>12</v>
      </c>
      <c r="E9398" s="5" t="s">
        <v>3962</v>
      </c>
    </row>
    <row r="9399" spans="1:5" x14ac:dyDescent="0.25">
      <c r="A9399" s="5">
        <f>9391</f>
      </c>
      <c r="B9399" s="5" t="s">
        <v>8642</v>
      </c>
      <c r="C9399" s="5" t="s">
        <v>11</v>
      </c>
      <c r="D9399" s="5" t="s">
        <v>12</v>
      </c>
      <c r="E9399" s="5" t="s">
        <v>3962</v>
      </c>
    </row>
    <row r="9400" spans="1:5" x14ac:dyDescent="0.25">
      <c r="A9400" s="5">
        <f>9392</f>
      </c>
      <c r="B9400" s="5" t="s">
        <v>8643</v>
      </c>
      <c r="C9400" s="5" t="s">
        <v>11</v>
      </c>
      <c r="D9400" s="5" t="s">
        <v>12</v>
      </c>
      <c r="E9400" s="5" t="s">
        <v>3962</v>
      </c>
    </row>
    <row r="9401" spans="1:5" x14ac:dyDescent="0.25">
      <c r="A9401" s="5">
        <f>9393</f>
      </c>
      <c r="B9401" s="5" t="s">
        <v>8644</v>
      </c>
      <c r="C9401" s="5" t="s">
        <v>11</v>
      </c>
      <c r="D9401" s="5" t="s">
        <v>12</v>
      </c>
      <c r="E9401" s="5" t="s">
        <v>3962</v>
      </c>
    </row>
    <row r="9402" spans="1:5" x14ac:dyDescent="0.25">
      <c r="A9402" s="5">
        <f>9394</f>
      </c>
      <c r="B9402" s="5" t="s">
        <v>8645</v>
      </c>
      <c r="C9402" s="5" t="s">
        <v>11</v>
      </c>
      <c r="D9402" s="5" t="s">
        <v>12</v>
      </c>
      <c r="E9402" s="5" t="s">
        <v>3962</v>
      </c>
    </row>
    <row r="9403" spans="1:5" x14ac:dyDescent="0.25">
      <c r="A9403" s="5">
        <f>9395</f>
      </c>
      <c r="B9403" s="5" t="s">
        <v>8646</v>
      </c>
      <c r="C9403" s="5" t="s">
        <v>11</v>
      </c>
      <c r="D9403" s="5" t="s">
        <v>12</v>
      </c>
      <c r="E9403" s="5" t="s">
        <v>3962</v>
      </c>
    </row>
    <row r="9404" spans="1:5" x14ac:dyDescent="0.25">
      <c r="A9404" s="5">
        <f>9396</f>
      </c>
      <c r="B9404" s="5" t="s">
        <v>8647</v>
      </c>
      <c r="C9404" s="5" t="s">
        <v>11</v>
      </c>
      <c r="D9404" s="5" t="s">
        <v>12</v>
      </c>
      <c r="E9404" s="5" t="s">
        <v>3962</v>
      </c>
    </row>
    <row r="9405" spans="1:5" x14ac:dyDescent="0.25">
      <c r="A9405" s="5">
        <f>9397</f>
      </c>
      <c r="B9405" s="5" t="s">
        <v>8648</v>
      </c>
      <c r="C9405" s="5" t="s">
        <v>11</v>
      </c>
      <c r="D9405" s="5" t="s">
        <v>12</v>
      </c>
      <c r="E9405" s="5" t="s">
        <v>3962</v>
      </c>
    </row>
    <row r="9406" spans="1:5" x14ac:dyDescent="0.25">
      <c r="A9406" s="5">
        <f>9398</f>
      </c>
      <c r="B9406" s="5" t="s">
        <v>8649</v>
      </c>
      <c r="C9406" s="5" t="s">
        <v>11</v>
      </c>
      <c r="D9406" s="5" t="s">
        <v>12</v>
      </c>
      <c r="E9406" s="5" t="s">
        <v>3962</v>
      </c>
    </row>
    <row r="9407" spans="1:5" x14ac:dyDescent="0.25">
      <c r="A9407" s="5">
        <f>9399</f>
      </c>
      <c r="B9407" s="5" t="s">
        <v>8650</v>
      </c>
      <c r="C9407" s="5" t="s">
        <v>11</v>
      </c>
      <c r="D9407" s="5" t="s">
        <v>12</v>
      </c>
      <c r="E9407" s="5" t="s">
        <v>3962</v>
      </c>
    </row>
    <row r="9408" spans="1:5" x14ac:dyDescent="0.25">
      <c r="A9408" s="5">
        <f>9400</f>
      </c>
      <c r="B9408" s="5" t="s">
        <v>8651</v>
      </c>
      <c r="C9408" s="5" t="s">
        <v>11</v>
      </c>
      <c r="D9408" s="5" t="s">
        <v>12</v>
      </c>
      <c r="E9408" s="5" t="s">
        <v>3962</v>
      </c>
    </row>
    <row r="9409" spans="1:5" x14ac:dyDescent="0.25">
      <c r="A9409" s="5">
        <f>9401</f>
      </c>
      <c r="B9409" s="5" t="s">
        <v>8652</v>
      </c>
      <c r="C9409" s="5" t="s">
        <v>11</v>
      </c>
      <c r="D9409" s="5" t="s">
        <v>12</v>
      </c>
      <c r="E9409" s="5" t="s">
        <v>3962</v>
      </c>
    </row>
    <row r="9410" spans="1:5" x14ac:dyDescent="0.25">
      <c r="A9410" s="5">
        <f>9402</f>
      </c>
      <c r="B9410" s="5" t="s">
        <v>8653</v>
      </c>
      <c r="C9410" s="5" t="s">
        <v>11</v>
      </c>
      <c r="D9410" s="5" t="s">
        <v>12</v>
      </c>
      <c r="E9410" s="5" t="s">
        <v>3962</v>
      </c>
    </row>
    <row r="9411" spans="1:5" x14ac:dyDescent="0.25">
      <c r="A9411" s="5">
        <f>9403</f>
      </c>
      <c r="B9411" s="5" t="s">
        <v>8654</v>
      </c>
      <c r="C9411" s="5" t="s">
        <v>11</v>
      </c>
      <c r="D9411" s="5" t="s">
        <v>12</v>
      </c>
      <c r="E9411" s="5" t="s">
        <v>3962</v>
      </c>
    </row>
    <row r="9412" spans="1:5" x14ac:dyDescent="0.25">
      <c r="A9412" s="5">
        <f>9404</f>
      </c>
      <c r="B9412" s="5" t="s">
        <v>8655</v>
      </c>
      <c r="C9412" s="5" t="s">
        <v>11</v>
      </c>
      <c r="D9412" s="5" t="s">
        <v>12</v>
      </c>
      <c r="E9412" s="5" t="s">
        <v>3962</v>
      </c>
    </row>
    <row r="9413" spans="1:5" x14ac:dyDescent="0.25">
      <c r="A9413" s="5">
        <f>9405</f>
      </c>
      <c r="B9413" s="5" t="s">
        <v>8656</v>
      </c>
      <c r="C9413" s="5" t="s">
        <v>11</v>
      </c>
      <c r="D9413" s="5" t="s">
        <v>12</v>
      </c>
      <c r="E9413" s="5" t="s">
        <v>3962</v>
      </c>
    </row>
    <row r="9414" spans="1:5" x14ac:dyDescent="0.25">
      <c r="A9414" s="5">
        <f>9406</f>
      </c>
      <c r="B9414" s="5" t="s">
        <v>8657</v>
      </c>
      <c r="C9414" s="5" t="s">
        <v>11</v>
      </c>
      <c r="D9414" s="5" t="s">
        <v>12</v>
      </c>
      <c r="E9414" s="5" t="s">
        <v>3962</v>
      </c>
    </row>
    <row r="9415" spans="1:5" x14ac:dyDescent="0.25">
      <c r="A9415" s="5">
        <f>9407</f>
      </c>
      <c r="B9415" s="5" t="s">
        <v>8658</v>
      </c>
      <c r="C9415" s="5" t="s">
        <v>11</v>
      </c>
      <c r="D9415" s="5" t="s">
        <v>12</v>
      </c>
      <c r="E9415" s="5" t="s">
        <v>3962</v>
      </c>
    </row>
    <row r="9416" spans="1:5" x14ac:dyDescent="0.25">
      <c r="A9416" s="5">
        <f>9408</f>
      </c>
      <c r="B9416" s="5" t="s">
        <v>8659</v>
      </c>
      <c r="C9416" s="5" t="s">
        <v>11</v>
      </c>
      <c r="D9416" s="5" t="s">
        <v>12</v>
      </c>
      <c r="E9416" s="5" t="s">
        <v>3962</v>
      </c>
    </row>
    <row r="9417" spans="1:5" x14ac:dyDescent="0.25">
      <c r="A9417" s="5">
        <f>9409</f>
      </c>
      <c r="B9417" s="5" t="s">
        <v>8660</v>
      </c>
      <c r="C9417" s="5" t="s">
        <v>11</v>
      </c>
      <c r="D9417" s="5" t="s">
        <v>12</v>
      </c>
      <c r="E9417" s="5" t="s">
        <v>3962</v>
      </c>
    </row>
    <row r="9418" spans="1:5" x14ac:dyDescent="0.25">
      <c r="A9418" s="5">
        <f>9410</f>
      </c>
      <c r="B9418" s="5" t="s">
        <v>8661</v>
      </c>
      <c r="C9418" s="5" t="s">
        <v>11</v>
      </c>
      <c r="D9418" s="5" t="s">
        <v>12</v>
      </c>
      <c r="E9418" s="5" t="s">
        <v>3962</v>
      </c>
    </row>
    <row r="9419" spans="1:5" x14ac:dyDescent="0.25">
      <c r="A9419" s="5">
        <f>9411</f>
      </c>
      <c r="B9419" s="5" t="s">
        <v>8662</v>
      </c>
      <c r="C9419" s="5" t="s">
        <v>11</v>
      </c>
      <c r="D9419" s="5" t="s">
        <v>12</v>
      </c>
      <c r="E9419" s="5" t="s">
        <v>3962</v>
      </c>
    </row>
    <row r="9420" spans="1:5" x14ac:dyDescent="0.25">
      <c r="A9420" s="5">
        <f>9412</f>
      </c>
      <c r="B9420" s="5" t="s">
        <v>8663</v>
      </c>
      <c r="C9420" s="5" t="s">
        <v>11</v>
      </c>
      <c r="D9420" s="5" t="s">
        <v>12</v>
      </c>
      <c r="E9420" s="5" t="s">
        <v>3962</v>
      </c>
    </row>
    <row r="9421" spans="1:5" x14ac:dyDescent="0.25">
      <c r="A9421" s="5">
        <f>9413</f>
      </c>
      <c r="B9421" s="5" t="s">
        <v>8664</v>
      </c>
      <c r="C9421" s="5" t="s">
        <v>11</v>
      </c>
      <c r="D9421" s="5" t="s">
        <v>12</v>
      </c>
      <c r="E9421" s="5" t="s">
        <v>3962</v>
      </c>
    </row>
    <row r="9422" spans="1:5" x14ac:dyDescent="0.25">
      <c r="A9422" s="5">
        <f>9414</f>
      </c>
      <c r="B9422" s="5" t="s">
        <v>8665</v>
      </c>
      <c r="C9422" s="5" t="s">
        <v>11</v>
      </c>
      <c r="D9422" s="5" t="s">
        <v>12</v>
      </c>
      <c r="E9422" s="5" t="s">
        <v>3962</v>
      </c>
    </row>
    <row r="9423" spans="1:5" x14ac:dyDescent="0.25">
      <c r="A9423" s="5">
        <f>9415</f>
      </c>
      <c r="B9423" s="5" t="s">
        <v>8666</v>
      </c>
      <c r="C9423" s="5" t="s">
        <v>11</v>
      </c>
      <c r="D9423" s="5" t="s">
        <v>12</v>
      </c>
      <c r="E9423" s="5" t="s">
        <v>3962</v>
      </c>
    </row>
    <row r="9424" spans="1:5" x14ac:dyDescent="0.25">
      <c r="A9424" s="5">
        <f>9416</f>
      </c>
      <c r="B9424" s="5" t="s">
        <v>8667</v>
      </c>
      <c r="C9424" s="5" t="s">
        <v>11</v>
      </c>
      <c r="D9424" s="5" t="s">
        <v>12</v>
      </c>
      <c r="E9424" s="5" t="s">
        <v>3962</v>
      </c>
    </row>
    <row r="9425" spans="1:5" x14ac:dyDescent="0.25">
      <c r="A9425" s="5">
        <f>9417</f>
      </c>
      <c r="B9425" s="5" t="s">
        <v>8668</v>
      </c>
      <c r="C9425" s="5" t="s">
        <v>11</v>
      </c>
      <c r="D9425" s="5" t="s">
        <v>12</v>
      </c>
      <c r="E9425" s="5" t="s">
        <v>3962</v>
      </c>
    </row>
    <row r="9426" spans="1:5" x14ac:dyDescent="0.25">
      <c r="A9426" s="5">
        <f>9418</f>
      </c>
      <c r="B9426" s="5" t="s">
        <v>8669</v>
      </c>
      <c r="C9426" s="5" t="s">
        <v>11</v>
      </c>
      <c r="D9426" s="5" t="s">
        <v>12</v>
      </c>
      <c r="E9426" s="5" t="s">
        <v>3962</v>
      </c>
    </row>
    <row r="9427" spans="1:5" x14ac:dyDescent="0.25">
      <c r="A9427" s="5">
        <f>9419</f>
      </c>
      <c r="B9427" s="5" t="s">
        <v>8670</v>
      </c>
      <c r="C9427" s="5" t="s">
        <v>11</v>
      </c>
      <c r="D9427" s="5" t="s">
        <v>12</v>
      </c>
      <c r="E9427" s="5" t="s">
        <v>3962</v>
      </c>
    </row>
    <row r="9428" spans="1:5" x14ac:dyDescent="0.25">
      <c r="A9428" s="5">
        <f>9420</f>
      </c>
      <c r="B9428" s="5" t="s">
        <v>8671</v>
      </c>
      <c r="C9428" s="5" t="s">
        <v>11</v>
      </c>
      <c r="D9428" s="5" t="s">
        <v>12</v>
      </c>
      <c r="E9428" s="5" t="s">
        <v>3962</v>
      </c>
    </row>
    <row r="9429" spans="1:5" x14ac:dyDescent="0.25">
      <c r="A9429" s="5">
        <f>9421</f>
      </c>
      <c r="B9429" s="5" t="s">
        <v>8672</v>
      </c>
      <c r="C9429" s="5" t="s">
        <v>11</v>
      </c>
      <c r="D9429" s="5" t="s">
        <v>12</v>
      </c>
      <c r="E9429" s="5" t="s">
        <v>3962</v>
      </c>
    </row>
    <row r="9430" spans="1:5" x14ac:dyDescent="0.25">
      <c r="A9430" s="5">
        <f>9422</f>
      </c>
      <c r="B9430" s="5" t="s">
        <v>8673</v>
      </c>
      <c r="C9430" s="5" t="s">
        <v>11</v>
      </c>
      <c r="D9430" s="5" t="s">
        <v>12</v>
      </c>
      <c r="E9430" s="5" t="s">
        <v>3962</v>
      </c>
    </row>
    <row r="9431" spans="1:5" x14ac:dyDescent="0.25">
      <c r="A9431" s="5">
        <f>9423</f>
      </c>
      <c r="B9431" s="5" t="s">
        <v>8674</v>
      </c>
      <c r="C9431" s="5" t="s">
        <v>11</v>
      </c>
      <c r="D9431" s="5" t="s">
        <v>12</v>
      </c>
      <c r="E9431" s="5" t="s">
        <v>3962</v>
      </c>
    </row>
    <row r="9432" spans="1:5" x14ac:dyDescent="0.25">
      <c r="A9432" s="5">
        <f>9424</f>
      </c>
      <c r="B9432" s="5" t="s">
        <v>8675</v>
      </c>
      <c r="C9432" s="5" t="s">
        <v>11</v>
      </c>
      <c r="D9432" s="5" t="s">
        <v>12</v>
      </c>
      <c r="E9432" s="5" t="s">
        <v>3962</v>
      </c>
    </row>
    <row r="9433" spans="1:5" x14ac:dyDescent="0.25">
      <c r="A9433" s="5">
        <f>9425</f>
      </c>
      <c r="B9433" s="5" t="s">
        <v>8676</v>
      </c>
      <c r="C9433" s="5" t="s">
        <v>11</v>
      </c>
      <c r="D9433" s="5" t="s">
        <v>12</v>
      </c>
      <c r="E9433" s="5" t="s">
        <v>3962</v>
      </c>
    </row>
    <row r="9434" spans="1:5" x14ac:dyDescent="0.25">
      <c r="A9434" s="5">
        <f>9426</f>
      </c>
      <c r="B9434" s="5" t="s">
        <v>8677</v>
      </c>
      <c r="C9434" s="5" t="s">
        <v>11</v>
      </c>
      <c r="D9434" s="5" t="s">
        <v>12</v>
      </c>
      <c r="E9434" s="5" t="s">
        <v>3962</v>
      </c>
    </row>
    <row r="9435" spans="1:5" x14ac:dyDescent="0.25">
      <c r="A9435" s="5">
        <f>9427</f>
      </c>
      <c r="B9435" s="5" t="s">
        <v>8678</v>
      </c>
      <c r="C9435" s="5" t="s">
        <v>11</v>
      </c>
      <c r="D9435" s="5" t="s">
        <v>12</v>
      </c>
      <c r="E9435" s="5" t="s">
        <v>3962</v>
      </c>
    </row>
    <row r="9436" spans="1:5" x14ac:dyDescent="0.25">
      <c r="A9436" s="5">
        <f>9428</f>
      </c>
      <c r="B9436" s="5" t="s">
        <v>8679</v>
      </c>
      <c r="C9436" s="5" t="s">
        <v>11</v>
      </c>
      <c r="D9436" s="5" t="s">
        <v>12</v>
      </c>
      <c r="E9436" s="5" t="s">
        <v>3962</v>
      </c>
    </row>
    <row r="9437" spans="1:5" x14ac:dyDescent="0.25">
      <c r="A9437" s="5">
        <f>9429</f>
      </c>
      <c r="B9437" s="5" t="s">
        <v>8680</v>
      </c>
      <c r="C9437" s="5" t="s">
        <v>11</v>
      </c>
      <c r="D9437" s="5" t="s">
        <v>12</v>
      </c>
      <c r="E9437" s="5" t="s">
        <v>3962</v>
      </c>
    </row>
    <row r="9438" spans="1:5" x14ac:dyDescent="0.25">
      <c r="A9438" s="5">
        <f>9430</f>
      </c>
      <c r="B9438" s="5" t="s">
        <v>8681</v>
      </c>
      <c r="C9438" s="5" t="s">
        <v>11</v>
      </c>
      <c r="D9438" s="5" t="s">
        <v>12</v>
      </c>
      <c r="E9438" s="5" t="s">
        <v>3962</v>
      </c>
    </row>
    <row r="9439" spans="1:5" x14ac:dyDescent="0.25">
      <c r="A9439" s="5">
        <f>9431</f>
      </c>
      <c r="B9439" s="5" t="s">
        <v>8682</v>
      </c>
      <c r="C9439" s="5" t="s">
        <v>11</v>
      </c>
      <c r="D9439" s="5" t="s">
        <v>12</v>
      </c>
      <c r="E9439" s="5" t="s">
        <v>3962</v>
      </c>
    </row>
    <row r="9440" spans="1:5" x14ac:dyDescent="0.25">
      <c r="A9440" s="5">
        <f>9432</f>
      </c>
      <c r="B9440" s="5" t="s">
        <v>8683</v>
      </c>
      <c r="C9440" s="5" t="s">
        <v>11</v>
      </c>
      <c r="D9440" s="5" t="s">
        <v>12</v>
      </c>
      <c r="E9440" s="5" t="s">
        <v>3962</v>
      </c>
    </row>
    <row r="9441" spans="1:5" x14ac:dyDescent="0.25">
      <c r="A9441" s="5">
        <f>9433</f>
      </c>
      <c r="B9441" s="5" t="s">
        <v>8684</v>
      </c>
      <c r="C9441" s="5" t="s">
        <v>11</v>
      </c>
      <c r="D9441" s="5" t="s">
        <v>12</v>
      </c>
      <c r="E9441" s="5" t="s">
        <v>3962</v>
      </c>
    </row>
    <row r="9442" spans="1:5" x14ac:dyDescent="0.25">
      <c r="A9442" s="5">
        <f>9434</f>
      </c>
      <c r="B9442" s="5" t="s">
        <v>8685</v>
      </c>
      <c r="C9442" s="5" t="s">
        <v>11</v>
      </c>
      <c r="D9442" s="5" t="s">
        <v>12</v>
      </c>
      <c r="E9442" s="5" t="s">
        <v>3962</v>
      </c>
    </row>
    <row r="9443" spans="1:5" x14ac:dyDescent="0.25">
      <c r="A9443" s="5">
        <f>9435</f>
      </c>
      <c r="B9443" s="5" t="s">
        <v>8686</v>
      </c>
      <c r="C9443" s="5" t="s">
        <v>11</v>
      </c>
      <c r="D9443" s="5" t="s">
        <v>12</v>
      </c>
      <c r="E9443" s="5" t="s">
        <v>3962</v>
      </c>
    </row>
    <row r="9444" spans="1:5" x14ac:dyDescent="0.25">
      <c r="A9444" s="5">
        <f>9436</f>
      </c>
      <c r="B9444" s="5" t="s">
        <v>8687</v>
      </c>
      <c r="C9444" s="5" t="s">
        <v>11</v>
      </c>
      <c r="D9444" s="5" t="s">
        <v>12</v>
      </c>
      <c r="E9444" s="5" t="s">
        <v>3962</v>
      </c>
    </row>
    <row r="9445" spans="1:5" x14ac:dyDescent="0.25">
      <c r="A9445" s="5">
        <f>9437</f>
      </c>
      <c r="B9445" s="5" t="s">
        <v>8688</v>
      </c>
      <c r="C9445" s="5" t="s">
        <v>11</v>
      </c>
      <c r="D9445" s="5" t="s">
        <v>12</v>
      </c>
      <c r="E9445" s="5" t="s">
        <v>3962</v>
      </c>
    </row>
    <row r="9446" spans="1:5" x14ac:dyDescent="0.25">
      <c r="A9446" s="5">
        <f>9438</f>
      </c>
      <c r="B9446" s="5" t="s">
        <v>8689</v>
      </c>
      <c r="C9446" s="5" t="s">
        <v>11</v>
      </c>
      <c r="D9446" s="5" t="s">
        <v>12</v>
      </c>
      <c r="E9446" s="5" t="s">
        <v>3962</v>
      </c>
    </row>
    <row r="9447" spans="1:5" x14ac:dyDescent="0.25">
      <c r="A9447" s="5">
        <f>9439</f>
      </c>
      <c r="B9447" s="5" t="s">
        <v>8690</v>
      </c>
      <c r="C9447" s="5" t="s">
        <v>11</v>
      </c>
      <c r="D9447" s="5" t="s">
        <v>12</v>
      </c>
      <c r="E9447" s="5" t="s">
        <v>3962</v>
      </c>
    </row>
    <row r="9448" spans="1:5" x14ac:dyDescent="0.25">
      <c r="A9448" s="5">
        <f>9440</f>
      </c>
      <c r="B9448" s="5" t="s">
        <v>8691</v>
      </c>
      <c r="C9448" s="5" t="s">
        <v>11</v>
      </c>
      <c r="D9448" s="5" t="s">
        <v>12</v>
      </c>
      <c r="E9448" s="5" t="s">
        <v>3962</v>
      </c>
    </row>
    <row r="9449" spans="1:5" x14ac:dyDescent="0.25">
      <c r="A9449" s="5">
        <f>9441</f>
      </c>
      <c r="B9449" s="5" t="s">
        <v>8692</v>
      </c>
      <c r="C9449" s="5" t="s">
        <v>11</v>
      </c>
      <c r="D9449" s="5" t="s">
        <v>12</v>
      </c>
      <c r="E9449" s="5" t="s">
        <v>3962</v>
      </c>
    </row>
    <row r="9450" spans="1:5" x14ac:dyDescent="0.25">
      <c r="A9450" s="5">
        <f>9442</f>
      </c>
      <c r="B9450" s="5" t="s">
        <v>8693</v>
      </c>
      <c r="C9450" s="5" t="s">
        <v>11</v>
      </c>
      <c r="D9450" s="5" t="s">
        <v>12</v>
      </c>
      <c r="E9450" s="5" t="s">
        <v>3962</v>
      </c>
    </row>
    <row r="9451" spans="1:5" x14ac:dyDescent="0.25">
      <c r="A9451" s="5">
        <f>9443</f>
      </c>
      <c r="B9451" s="5" t="s">
        <v>8694</v>
      </c>
      <c r="C9451" s="5" t="s">
        <v>11</v>
      </c>
      <c r="D9451" s="5" t="s">
        <v>12</v>
      </c>
      <c r="E9451" s="5" t="s">
        <v>3962</v>
      </c>
    </row>
    <row r="9452" spans="1:5" x14ac:dyDescent="0.25">
      <c r="A9452" s="5">
        <f>9444</f>
      </c>
      <c r="B9452" s="5" t="s">
        <v>8695</v>
      </c>
      <c r="C9452" s="5" t="s">
        <v>11</v>
      </c>
      <c r="D9452" s="5" t="s">
        <v>12</v>
      </c>
      <c r="E9452" s="5" t="s">
        <v>3962</v>
      </c>
    </row>
    <row r="9453" spans="1:5" x14ac:dyDescent="0.25">
      <c r="A9453" s="5">
        <f>9445</f>
      </c>
      <c r="B9453" s="5" t="s">
        <v>8696</v>
      </c>
      <c r="C9453" s="5" t="s">
        <v>11</v>
      </c>
      <c r="D9453" s="5" t="s">
        <v>12</v>
      </c>
      <c r="E9453" s="5" t="s">
        <v>3962</v>
      </c>
    </row>
    <row r="9454" spans="1:5" x14ac:dyDescent="0.25">
      <c r="A9454" s="5">
        <f>9446</f>
      </c>
      <c r="B9454" s="5" t="s">
        <v>8697</v>
      </c>
      <c r="C9454" s="5" t="s">
        <v>11</v>
      </c>
      <c r="D9454" s="5" t="s">
        <v>12</v>
      </c>
      <c r="E9454" s="5" t="s">
        <v>3962</v>
      </c>
    </row>
    <row r="9455" spans="1:5" x14ac:dyDescent="0.25">
      <c r="A9455" s="5">
        <f>9447</f>
      </c>
      <c r="B9455" s="5" t="s">
        <v>8698</v>
      </c>
      <c r="C9455" s="5" t="s">
        <v>11</v>
      </c>
      <c r="D9455" s="5" t="s">
        <v>12</v>
      </c>
      <c r="E9455" s="5" t="s">
        <v>3962</v>
      </c>
    </row>
    <row r="9456" spans="1:5" x14ac:dyDescent="0.25">
      <c r="A9456" s="5">
        <f>9448</f>
      </c>
      <c r="B9456" s="5" t="s">
        <v>8699</v>
      </c>
      <c r="C9456" s="5" t="s">
        <v>11</v>
      </c>
      <c r="D9456" s="5" t="s">
        <v>12</v>
      </c>
      <c r="E9456" s="5" t="s">
        <v>3962</v>
      </c>
    </row>
    <row r="9457" spans="1:5" x14ac:dyDescent="0.25">
      <c r="A9457" s="5">
        <f>9449</f>
      </c>
      <c r="B9457" s="5" t="s">
        <v>8700</v>
      </c>
      <c r="C9457" s="5" t="s">
        <v>11</v>
      </c>
      <c r="D9457" s="5" t="s">
        <v>12</v>
      </c>
      <c r="E9457" s="5" t="s">
        <v>3962</v>
      </c>
    </row>
    <row r="9458" spans="1:5" x14ac:dyDescent="0.25">
      <c r="A9458" s="5">
        <f>9450</f>
      </c>
      <c r="B9458" s="5" t="s">
        <v>8701</v>
      </c>
      <c r="C9458" s="5" t="s">
        <v>11</v>
      </c>
      <c r="D9458" s="5" t="s">
        <v>12</v>
      </c>
      <c r="E9458" s="5" t="s">
        <v>3962</v>
      </c>
    </row>
    <row r="9459" spans="1:5" x14ac:dyDescent="0.25">
      <c r="A9459" s="5">
        <f>9451</f>
      </c>
      <c r="B9459" s="5" t="s">
        <v>8702</v>
      </c>
      <c r="C9459" s="5" t="s">
        <v>11</v>
      </c>
      <c r="D9459" s="5" t="s">
        <v>12</v>
      </c>
      <c r="E9459" s="5" t="s">
        <v>3962</v>
      </c>
    </row>
    <row r="9460" spans="1:5" x14ac:dyDescent="0.25">
      <c r="A9460" s="5">
        <f>9452</f>
      </c>
      <c r="B9460" s="5" t="s">
        <v>8703</v>
      </c>
      <c r="C9460" s="5" t="s">
        <v>11</v>
      </c>
      <c r="D9460" s="5" t="s">
        <v>12</v>
      </c>
      <c r="E9460" s="5" t="s">
        <v>3962</v>
      </c>
    </row>
    <row r="9461" spans="1:5" x14ac:dyDescent="0.25">
      <c r="A9461" s="5">
        <f>9453</f>
      </c>
      <c r="B9461" s="5" t="s">
        <v>8704</v>
      </c>
      <c r="C9461" s="5" t="s">
        <v>11</v>
      </c>
      <c r="D9461" s="5" t="s">
        <v>12</v>
      </c>
      <c r="E9461" s="5" t="s">
        <v>3962</v>
      </c>
    </row>
    <row r="9462" spans="1:5" x14ac:dyDescent="0.25">
      <c r="A9462" s="5">
        <f>9454</f>
      </c>
      <c r="B9462" s="5" t="s">
        <v>8705</v>
      </c>
      <c r="C9462" s="5" t="s">
        <v>11</v>
      </c>
      <c r="D9462" s="5" t="s">
        <v>12</v>
      </c>
      <c r="E9462" s="5" t="s">
        <v>3962</v>
      </c>
    </row>
    <row r="9463" spans="1:5" x14ac:dyDescent="0.25">
      <c r="A9463" s="5">
        <f>9455</f>
      </c>
      <c r="B9463" s="5" t="s">
        <v>8706</v>
      </c>
      <c r="C9463" s="5" t="s">
        <v>11</v>
      </c>
      <c r="D9463" s="5" t="s">
        <v>12</v>
      </c>
      <c r="E9463" s="5" t="s">
        <v>3962</v>
      </c>
    </row>
    <row r="9464" spans="1:5" x14ac:dyDescent="0.25">
      <c r="A9464" s="5">
        <f>9456</f>
      </c>
      <c r="B9464" s="5" t="s">
        <v>8707</v>
      </c>
      <c r="C9464" s="5" t="s">
        <v>11</v>
      </c>
      <c r="D9464" s="5" t="s">
        <v>12</v>
      </c>
      <c r="E9464" s="5" t="s">
        <v>3962</v>
      </c>
    </row>
    <row r="9465" spans="1:5" x14ac:dyDescent="0.25">
      <c r="A9465" s="5">
        <f>9457</f>
      </c>
      <c r="B9465" s="5" t="s">
        <v>8708</v>
      </c>
      <c r="C9465" s="5" t="s">
        <v>11</v>
      </c>
      <c r="D9465" s="5" t="s">
        <v>12</v>
      </c>
      <c r="E9465" s="5" t="s">
        <v>3962</v>
      </c>
    </row>
    <row r="9466" spans="1:5" x14ac:dyDescent="0.25">
      <c r="A9466" s="5">
        <f>9458</f>
      </c>
      <c r="B9466" s="5" t="s">
        <v>8709</v>
      </c>
      <c r="C9466" s="5" t="s">
        <v>11</v>
      </c>
      <c r="D9466" s="5" t="s">
        <v>12</v>
      </c>
      <c r="E9466" s="5" t="s">
        <v>3962</v>
      </c>
    </row>
    <row r="9467" spans="1:5" x14ac:dyDescent="0.25">
      <c r="A9467" s="5">
        <f>9459</f>
      </c>
      <c r="B9467" s="5" t="s">
        <v>8710</v>
      </c>
      <c r="C9467" s="5" t="s">
        <v>11</v>
      </c>
      <c r="D9467" s="5" t="s">
        <v>12</v>
      </c>
      <c r="E9467" s="5" t="s">
        <v>3962</v>
      </c>
    </row>
    <row r="9468" spans="1:5" x14ac:dyDescent="0.25">
      <c r="A9468" s="5">
        <f>9460</f>
      </c>
      <c r="B9468" s="5" t="s">
        <v>8711</v>
      </c>
      <c r="C9468" s="5" t="s">
        <v>11</v>
      </c>
      <c r="D9468" s="5" t="s">
        <v>12</v>
      </c>
      <c r="E9468" s="5" t="s">
        <v>3962</v>
      </c>
    </row>
    <row r="9469" spans="1:5" x14ac:dyDescent="0.25">
      <c r="A9469" s="5">
        <f>9461</f>
      </c>
      <c r="B9469" s="5" t="s">
        <v>8712</v>
      </c>
      <c r="C9469" s="5" t="s">
        <v>11</v>
      </c>
      <c r="D9469" s="5" t="s">
        <v>12</v>
      </c>
      <c r="E9469" s="5" t="s">
        <v>3962</v>
      </c>
    </row>
    <row r="9470" spans="1:5" x14ac:dyDescent="0.25">
      <c r="A9470" s="5">
        <f>9462</f>
      </c>
      <c r="B9470" s="5" t="s">
        <v>8713</v>
      </c>
      <c r="C9470" s="5" t="s">
        <v>11</v>
      </c>
      <c r="D9470" s="5" t="s">
        <v>12</v>
      </c>
      <c r="E9470" s="5" t="s">
        <v>3962</v>
      </c>
    </row>
    <row r="9471" spans="1:5" x14ac:dyDescent="0.25">
      <c r="A9471" s="5">
        <f>9463</f>
      </c>
      <c r="B9471" s="5" t="s">
        <v>8714</v>
      </c>
      <c r="C9471" s="5" t="s">
        <v>11</v>
      </c>
      <c r="D9471" s="5" t="s">
        <v>12</v>
      </c>
      <c r="E9471" s="5" t="s">
        <v>3962</v>
      </c>
    </row>
    <row r="9472" spans="1:5" x14ac:dyDescent="0.25">
      <c r="A9472" s="5">
        <f>9464</f>
      </c>
      <c r="B9472" s="5" t="s">
        <v>8715</v>
      </c>
      <c r="C9472" s="5" t="s">
        <v>11</v>
      </c>
      <c r="D9472" s="5" t="s">
        <v>12</v>
      </c>
      <c r="E9472" s="5" t="s">
        <v>3962</v>
      </c>
    </row>
    <row r="9473" spans="1:5" x14ac:dyDescent="0.25">
      <c r="A9473" s="5">
        <f>9465</f>
      </c>
      <c r="B9473" s="5" t="s">
        <v>8716</v>
      </c>
      <c r="C9473" s="5" t="s">
        <v>11</v>
      </c>
      <c r="D9473" s="5" t="s">
        <v>12</v>
      </c>
      <c r="E9473" s="5" t="s">
        <v>3962</v>
      </c>
    </row>
    <row r="9474" spans="1:5" x14ac:dyDescent="0.25">
      <c r="A9474" s="5">
        <f>9466</f>
      </c>
      <c r="B9474" s="5" t="s">
        <v>8717</v>
      </c>
      <c r="C9474" s="5" t="s">
        <v>11</v>
      </c>
      <c r="D9474" s="5" t="s">
        <v>12</v>
      </c>
      <c r="E9474" s="5" t="s">
        <v>3962</v>
      </c>
    </row>
    <row r="9475" spans="1:5" x14ac:dyDescent="0.25">
      <c r="A9475" s="5">
        <f>9467</f>
      </c>
      <c r="B9475" s="5" t="s">
        <v>8718</v>
      </c>
      <c r="C9475" s="5" t="s">
        <v>11</v>
      </c>
      <c r="D9475" s="5" t="s">
        <v>12</v>
      </c>
      <c r="E9475" s="5" t="s">
        <v>3962</v>
      </c>
    </row>
    <row r="9476" spans="1:5" x14ac:dyDescent="0.25">
      <c r="A9476" s="5">
        <f>9468</f>
      </c>
      <c r="B9476" s="5" t="s">
        <v>8719</v>
      </c>
      <c r="C9476" s="5" t="s">
        <v>11</v>
      </c>
      <c r="D9476" s="5" t="s">
        <v>12</v>
      </c>
      <c r="E9476" s="5" t="s">
        <v>3962</v>
      </c>
    </row>
    <row r="9477" spans="1:5" x14ac:dyDescent="0.25">
      <c r="A9477" s="5">
        <f>9469</f>
      </c>
      <c r="B9477" s="5" t="s">
        <v>8720</v>
      </c>
      <c r="C9477" s="5" t="s">
        <v>11</v>
      </c>
      <c r="D9477" s="5" t="s">
        <v>12</v>
      </c>
      <c r="E9477" s="5" t="s">
        <v>3962</v>
      </c>
    </row>
    <row r="9478" spans="1:5" x14ac:dyDescent="0.25">
      <c r="A9478" s="5">
        <f>9470</f>
      </c>
      <c r="B9478" s="5" t="s">
        <v>8721</v>
      </c>
      <c r="C9478" s="5" t="s">
        <v>11</v>
      </c>
      <c r="D9478" s="5" t="s">
        <v>12</v>
      </c>
      <c r="E9478" s="5" t="s">
        <v>3962</v>
      </c>
    </row>
    <row r="9479" spans="1:5" x14ac:dyDescent="0.25">
      <c r="A9479" s="5">
        <f>9471</f>
      </c>
      <c r="B9479" s="5" t="s">
        <v>8722</v>
      </c>
      <c r="C9479" s="5" t="s">
        <v>11</v>
      </c>
      <c r="D9479" s="5" t="s">
        <v>12</v>
      </c>
      <c r="E9479" s="5" t="s">
        <v>3962</v>
      </c>
    </row>
    <row r="9480" spans="1:5" x14ac:dyDescent="0.25">
      <c r="A9480" s="5">
        <f>9472</f>
      </c>
      <c r="B9480" s="5" t="s">
        <v>8723</v>
      </c>
      <c r="C9480" s="5" t="s">
        <v>11</v>
      </c>
      <c r="D9480" s="5" t="s">
        <v>12</v>
      </c>
      <c r="E9480" s="5" t="s">
        <v>3962</v>
      </c>
    </row>
    <row r="9481" spans="1:5" x14ac:dyDescent="0.25">
      <c r="A9481" s="5">
        <f>9473</f>
      </c>
      <c r="B9481" s="5" t="s">
        <v>8724</v>
      </c>
      <c r="C9481" s="5" t="s">
        <v>11</v>
      </c>
      <c r="D9481" s="5" t="s">
        <v>12</v>
      </c>
      <c r="E9481" s="5" t="s">
        <v>3962</v>
      </c>
    </row>
    <row r="9482" spans="1:5" x14ac:dyDescent="0.25">
      <c r="A9482" s="5">
        <f>9474</f>
      </c>
      <c r="B9482" s="5" t="s">
        <v>8725</v>
      </c>
      <c r="C9482" s="5" t="s">
        <v>11</v>
      </c>
      <c r="D9482" s="5" t="s">
        <v>12</v>
      </c>
      <c r="E9482" s="5" t="s">
        <v>3962</v>
      </c>
    </row>
    <row r="9483" spans="1:5" x14ac:dyDescent="0.25">
      <c r="A9483" s="5">
        <f>9475</f>
      </c>
      <c r="B9483" s="5" t="s">
        <v>8726</v>
      </c>
      <c r="C9483" s="5" t="s">
        <v>11</v>
      </c>
      <c r="D9483" s="5" t="s">
        <v>12</v>
      </c>
      <c r="E9483" s="5" t="s">
        <v>3962</v>
      </c>
    </row>
    <row r="9484" spans="1:5" x14ac:dyDescent="0.25">
      <c r="A9484" s="5">
        <f>9476</f>
      </c>
      <c r="B9484" s="5" t="s">
        <v>8727</v>
      </c>
      <c r="C9484" s="5" t="s">
        <v>11</v>
      </c>
      <c r="D9484" s="5" t="s">
        <v>12</v>
      </c>
      <c r="E9484" s="5" t="s">
        <v>3962</v>
      </c>
    </row>
    <row r="9485" spans="1:5" x14ac:dyDescent="0.25">
      <c r="A9485" s="5">
        <f>9477</f>
      </c>
      <c r="B9485" s="5" t="s">
        <v>8728</v>
      </c>
      <c r="C9485" s="5" t="s">
        <v>11</v>
      </c>
      <c r="D9485" s="5" t="s">
        <v>12</v>
      </c>
      <c r="E9485" s="5" t="s">
        <v>3962</v>
      </c>
    </row>
    <row r="9486" spans="1:5" x14ac:dyDescent="0.25">
      <c r="A9486" s="5">
        <f>9478</f>
      </c>
      <c r="B9486" s="5" t="s">
        <v>8729</v>
      </c>
      <c r="C9486" s="5" t="s">
        <v>11</v>
      </c>
      <c r="D9486" s="5" t="s">
        <v>12</v>
      </c>
      <c r="E9486" s="5" t="s">
        <v>3962</v>
      </c>
    </row>
    <row r="9487" spans="1:5" x14ac:dyDescent="0.25">
      <c r="A9487" s="5">
        <f>9479</f>
      </c>
      <c r="B9487" s="5" t="s">
        <v>8730</v>
      </c>
      <c r="C9487" s="5" t="s">
        <v>11</v>
      </c>
      <c r="D9487" s="5" t="s">
        <v>12</v>
      </c>
      <c r="E9487" s="5" t="s">
        <v>3962</v>
      </c>
    </row>
    <row r="9488" spans="1:5" x14ac:dyDescent="0.25">
      <c r="A9488" s="5">
        <f>9480</f>
      </c>
      <c r="B9488" s="5" t="s">
        <v>8731</v>
      </c>
      <c r="C9488" s="5" t="s">
        <v>11</v>
      </c>
      <c r="D9488" s="5" t="s">
        <v>12</v>
      </c>
      <c r="E9488" s="5" t="s">
        <v>3962</v>
      </c>
    </row>
    <row r="9489" spans="1:5" x14ac:dyDescent="0.25">
      <c r="A9489" s="5">
        <f>9481</f>
      </c>
      <c r="B9489" s="5" t="s">
        <v>8732</v>
      </c>
      <c r="C9489" s="5" t="s">
        <v>11</v>
      </c>
      <c r="D9489" s="5" t="s">
        <v>12</v>
      </c>
      <c r="E9489" s="5" t="s">
        <v>3962</v>
      </c>
    </row>
    <row r="9490" spans="1:5" x14ac:dyDescent="0.25">
      <c r="A9490" s="5">
        <f>9482</f>
      </c>
      <c r="B9490" s="5" t="s">
        <v>8733</v>
      </c>
      <c r="C9490" s="5" t="s">
        <v>11</v>
      </c>
      <c r="D9490" s="5" t="s">
        <v>12</v>
      </c>
      <c r="E9490" s="5" t="s">
        <v>3962</v>
      </c>
    </row>
    <row r="9491" spans="1:5" x14ac:dyDescent="0.25">
      <c r="A9491" s="5">
        <f>9483</f>
      </c>
      <c r="B9491" s="5" t="s">
        <v>8734</v>
      </c>
      <c r="C9491" s="5" t="s">
        <v>11</v>
      </c>
      <c r="D9491" s="5" t="s">
        <v>12</v>
      </c>
      <c r="E9491" s="5" t="s">
        <v>3962</v>
      </c>
    </row>
    <row r="9492" spans="1:5" x14ac:dyDescent="0.25">
      <c r="A9492" s="5">
        <f>9484</f>
      </c>
      <c r="B9492" s="5" t="s">
        <v>8735</v>
      </c>
      <c r="C9492" s="5" t="s">
        <v>11</v>
      </c>
      <c r="D9492" s="5" t="s">
        <v>12</v>
      </c>
      <c r="E9492" s="5" t="s">
        <v>3962</v>
      </c>
    </row>
    <row r="9493" spans="1:5" x14ac:dyDescent="0.25">
      <c r="A9493" s="5">
        <f>9485</f>
      </c>
      <c r="B9493" s="5" t="s">
        <v>8736</v>
      </c>
      <c r="C9493" s="5" t="s">
        <v>11</v>
      </c>
      <c r="D9493" s="5" t="s">
        <v>12</v>
      </c>
      <c r="E9493" s="5" t="s">
        <v>3962</v>
      </c>
    </row>
    <row r="9494" spans="1:5" x14ac:dyDescent="0.25">
      <c r="A9494" s="5">
        <f>9486</f>
      </c>
      <c r="B9494" s="5" t="s">
        <v>8737</v>
      </c>
      <c r="C9494" s="5" t="s">
        <v>11</v>
      </c>
      <c r="D9494" s="5" t="s">
        <v>12</v>
      </c>
      <c r="E9494" s="5" t="s">
        <v>3962</v>
      </c>
    </row>
    <row r="9495" spans="1:5" x14ac:dyDescent="0.25">
      <c r="A9495" s="5">
        <f>9487</f>
      </c>
      <c r="B9495" s="5" t="s">
        <v>8738</v>
      </c>
      <c r="C9495" s="5" t="s">
        <v>11</v>
      </c>
      <c r="D9495" s="5" t="s">
        <v>12</v>
      </c>
      <c r="E9495" s="5" t="s">
        <v>3962</v>
      </c>
    </row>
    <row r="9496" spans="1:5" x14ac:dyDescent="0.25">
      <c r="A9496" s="5">
        <f>9488</f>
      </c>
      <c r="B9496" s="5" t="s">
        <v>8739</v>
      </c>
      <c r="C9496" s="5" t="s">
        <v>11</v>
      </c>
      <c r="D9496" s="5" t="s">
        <v>12</v>
      </c>
      <c r="E9496" s="5" t="s">
        <v>3962</v>
      </c>
    </row>
    <row r="9497" spans="1:5" x14ac:dyDescent="0.25">
      <c r="A9497" s="5">
        <f>9489</f>
      </c>
      <c r="B9497" s="5" t="s">
        <v>8740</v>
      </c>
      <c r="C9497" s="5" t="s">
        <v>11</v>
      </c>
      <c r="D9497" s="5" t="s">
        <v>12</v>
      </c>
      <c r="E9497" s="5" t="s">
        <v>3962</v>
      </c>
    </row>
    <row r="9498" spans="1:5" x14ac:dyDescent="0.25">
      <c r="A9498" s="5">
        <f>9490</f>
      </c>
      <c r="B9498" s="5" t="s">
        <v>8741</v>
      </c>
      <c r="C9498" s="5" t="s">
        <v>11</v>
      </c>
      <c r="D9498" s="5" t="s">
        <v>12</v>
      </c>
      <c r="E9498" s="5" t="s">
        <v>3962</v>
      </c>
    </row>
    <row r="9499" spans="1:5" x14ac:dyDescent="0.25">
      <c r="A9499" s="5">
        <f>9491</f>
      </c>
      <c r="B9499" s="5" t="s">
        <v>8742</v>
      </c>
      <c r="C9499" s="5" t="s">
        <v>11</v>
      </c>
      <c r="D9499" s="5" t="s">
        <v>12</v>
      </c>
      <c r="E9499" s="5" t="s">
        <v>3962</v>
      </c>
    </row>
    <row r="9500" spans="1:5" x14ac:dyDescent="0.25">
      <c r="A9500" s="5">
        <f>9492</f>
      </c>
      <c r="B9500" s="5" t="s">
        <v>8743</v>
      </c>
      <c r="C9500" s="5" t="s">
        <v>11</v>
      </c>
      <c r="D9500" s="5" t="s">
        <v>12</v>
      </c>
      <c r="E9500" s="5" t="s">
        <v>3962</v>
      </c>
    </row>
    <row r="9501" spans="1:5" x14ac:dyDescent="0.25">
      <c r="A9501" s="5">
        <f>9493</f>
      </c>
      <c r="B9501" s="5" t="s">
        <v>8744</v>
      </c>
      <c r="C9501" s="5" t="s">
        <v>11</v>
      </c>
      <c r="D9501" s="5" t="s">
        <v>12</v>
      </c>
      <c r="E9501" s="5" t="s">
        <v>3962</v>
      </c>
    </row>
    <row r="9502" spans="1:5" x14ac:dyDescent="0.25">
      <c r="A9502" s="5">
        <f>9494</f>
      </c>
      <c r="B9502" s="5" t="s">
        <v>8745</v>
      </c>
      <c r="C9502" s="5" t="s">
        <v>11</v>
      </c>
      <c r="D9502" s="5" t="s">
        <v>12</v>
      </c>
      <c r="E9502" s="5" t="s">
        <v>3962</v>
      </c>
    </row>
    <row r="9503" spans="1:5" x14ac:dyDescent="0.25">
      <c r="A9503" s="5">
        <f>9495</f>
      </c>
      <c r="B9503" s="5" t="s">
        <v>8746</v>
      </c>
      <c r="C9503" s="5" t="s">
        <v>11</v>
      </c>
      <c r="D9503" s="5" t="s">
        <v>12</v>
      </c>
      <c r="E9503" s="5" t="s">
        <v>3962</v>
      </c>
    </row>
    <row r="9504" spans="1:5" x14ac:dyDescent="0.25">
      <c r="A9504" s="5">
        <f>9496</f>
      </c>
      <c r="B9504" s="5" t="s">
        <v>8747</v>
      </c>
      <c r="C9504" s="5" t="s">
        <v>11</v>
      </c>
      <c r="D9504" s="5" t="s">
        <v>12</v>
      </c>
      <c r="E9504" s="5" t="s">
        <v>3962</v>
      </c>
    </row>
    <row r="9505" spans="1:5" x14ac:dyDescent="0.25">
      <c r="A9505" s="5">
        <f>9497</f>
      </c>
      <c r="B9505" s="5" t="s">
        <v>8748</v>
      </c>
      <c r="C9505" s="5" t="s">
        <v>11</v>
      </c>
      <c r="D9505" s="5" t="s">
        <v>12</v>
      </c>
      <c r="E9505" s="5" t="s">
        <v>3962</v>
      </c>
    </row>
    <row r="9506" spans="1:5" x14ac:dyDescent="0.25">
      <c r="A9506" s="5">
        <f>9498</f>
      </c>
      <c r="B9506" s="5" t="s">
        <v>8749</v>
      </c>
      <c r="C9506" s="5" t="s">
        <v>11</v>
      </c>
      <c r="D9506" s="5" t="s">
        <v>12</v>
      </c>
      <c r="E9506" s="5" t="s">
        <v>3962</v>
      </c>
    </row>
    <row r="9507" spans="1:5" x14ac:dyDescent="0.25">
      <c r="A9507" s="5">
        <f>9499</f>
      </c>
      <c r="B9507" s="5" t="s">
        <v>8750</v>
      </c>
      <c r="C9507" s="5" t="s">
        <v>11</v>
      </c>
      <c r="D9507" s="5" t="s">
        <v>12</v>
      </c>
      <c r="E9507" s="5" t="s">
        <v>3962</v>
      </c>
    </row>
    <row r="9508" spans="1:5" x14ac:dyDescent="0.25">
      <c r="A9508" s="5">
        <f>9500</f>
      </c>
      <c r="B9508" s="5" t="s">
        <v>8751</v>
      </c>
      <c r="C9508" s="5" t="s">
        <v>11</v>
      </c>
      <c r="D9508" s="5" t="s">
        <v>12</v>
      </c>
      <c r="E9508" s="5" t="s">
        <v>3962</v>
      </c>
    </row>
    <row r="9509" spans="1:5" x14ac:dyDescent="0.25">
      <c r="A9509" s="5">
        <f>9501</f>
      </c>
      <c r="B9509" s="5" t="s">
        <v>8752</v>
      </c>
      <c r="C9509" s="5" t="s">
        <v>11</v>
      </c>
      <c r="D9509" s="5" t="s">
        <v>12</v>
      </c>
      <c r="E9509" s="5" t="s">
        <v>3962</v>
      </c>
    </row>
    <row r="9510" spans="1:5" x14ac:dyDescent="0.25">
      <c r="A9510" s="5">
        <f>9502</f>
      </c>
      <c r="B9510" s="5" t="s">
        <v>8753</v>
      </c>
      <c r="C9510" s="5" t="s">
        <v>11</v>
      </c>
      <c r="D9510" s="5" t="s">
        <v>12</v>
      </c>
      <c r="E9510" s="5" t="s">
        <v>3962</v>
      </c>
    </row>
    <row r="9511" spans="1:5" x14ac:dyDescent="0.25">
      <c r="A9511" s="5">
        <f>9503</f>
      </c>
      <c r="B9511" s="5" t="s">
        <v>8754</v>
      </c>
      <c r="C9511" s="5" t="s">
        <v>11</v>
      </c>
      <c r="D9511" s="5" t="s">
        <v>12</v>
      </c>
      <c r="E9511" s="5" t="s">
        <v>3962</v>
      </c>
    </row>
    <row r="9512" spans="1:5" x14ac:dyDescent="0.25">
      <c r="A9512" s="5">
        <f>9504</f>
      </c>
      <c r="B9512" s="5" t="s">
        <v>8755</v>
      </c>
      <c r="C9512" s="5" t="s">
        <v>11</v>
      </c>
      <c r="D9512" s="5" t="s">
        <v>12</v>
      </c>
      <c r="E9512" s="5" t="s">
        <v>3962</v>
      </c>
    </row>
    <row r="9513" spans="1:5" x14ac:dyDescent="0.25">
      <c r="A9513" s="5">
        <f>9505</f>
      </c>
      <c r="B9513" s="5" t="s">
        <v>8756</v>
      </c>
      <c r="C9513" s="5" t="s">
        <v>11</v>
      </c>
      <c r="D9513" s="5" t="s">
        <v>12</v>
      </c>
      <c r="E9513" s="5" t="s">
        <v>3962</v>
      </c>
    </row>
    <row r="9514" spans="1:5" x14ac:dyDescent="0.25">
      <c r="A9514" s="5">
        <f>9506</f>
      </c>
      <c r="B9514" s="5" t="s">
        <v>8757</v>
      </c>
      <c r="C9514" s="5" t="s">
        <v>11</v>
      </c>
      <c r="D9514" s="5" t="s">
        <v>12</v>
      </c>
      <c r="E9514" s="5" t="s">
        <v>3962</v>
      </c>
    </row>
    <row r="9515" spans="1:5" x14ac:dyDescent="0.25">
      <c r="A9515" s="5">
        <f>9507</f>
      </c>
      <c r="B9515" s="5" t="s">
        <v>8758</v>
      </c>
      <c r="C9515" s="5" t="s">
        <v>11</v>
      </c>
      <c r="D9515" s="5" t="s">
        <v>12</v>
      </c>
      <c r="E9515" s="5" t="s">
        <v>3962</v>
      </c>
    </row>
    <row r="9516" spans="1:5" x14ac:dyDescent="0.25">
      <c r="A9516" s="5">
        <f>9508</f>
      </c>
      <c r="B9516" s="5" t="s">
        <v>8759</v>
      </c>
      <c r="C9516" s="5" t="s">
        <v>11</v>
      </c>
      <c r="D9516" s="5" t="s">
        <v>12</v>
      </c>
      <c r="E9516" s="5" t="s">
        <v>3962</v>
      </c>
    </row>
    <row r="9517" spans="1:5" x14ac:dyDescent="0.25">
      <c r="A9517" s="5">
        <f>9509</f>
      </c>
      <c r="B9517" s="5" t="s">
        <v>8760</v>
      </c>
      <c r="C9517" s="5" t="s">
        <v>11</v>
      </c>
      <c r="D9517" s="5" t="s">
        <v>12</v>
      </c>
      <c r="E9517" s="5" t="s">
        <v>3962</v>
      </c>
    </row>
    <row r="9518" spans="1:5" x14ac:dyDescent="0.25">
      <c r="A9518" s="5">
        <f>9510</f>
      </c>
      <c r="B9518" s="5" t="s">
        <v>8761</v>
      </c>
      <c r="C9518" s="5" t="s">
        <v>11</v>
      </c>
      <c r="D9518" s="5" t="s">
        <v>12</v>
      </c>
      <c r="E9518" s="5" t="s">
        <v>3962</v>
      </c>
    </row>
    <row r="9519" spans="1:5" x14ac:dyDescent="0.25">
      <c r="A9519" s="5">
        <f>9511</f>
      </c>
      <c r="B9519" s="5" t="s">
        <v>8762</v>
      </c>
      <c r="C9519" s="5" t="s">
        <v>11</v>
      </c>
      <c r="D9519" s="5" t="s">
        <v>12</v>
      </c>
      <c r="E9519" s="5" t="s">
        <v>3962</v>
      </c>
    </row>
    <row r="9520" spans="1:5" x14ac:dyDescent="0.25">
      <c r="A9520" s="5">
        <f>9512</f>
      </c>
      <c r="B9520" s="5" t="s">
        <v>8763</v>
      </c>
      <c r="C9520" s="5" t="s">
        <v>11</v>
      </c>
      <c r="D9520" s="5" t="s">
        <v>12</v>
      </c>
      <c r="E9520" s="5" t="s">
        <v>3962</v>
      </c>
    </row>
    <row r="9521" spans="1:5" x14ac:dyDescent="0.25">
      <c r="A9521" s="5">
        <f>9513</f>
      </c>
      <c r="B9521" s="5" t="s">
        <v>8764</v>
      </c>
      <c r="C9521" s="5" t="s">
        <v>11</v>
      </c>
      <c r="D9521" s="5" t="s">
        <v>12</v>
      </c>
      <c r="E9521" s="5" t="s">
        <v>3962</v>
      </c>
    </row>
    <row r="9522" spans="1:5" x14ac:dyDescent="0.25">
      <c r="A9522" s="5">
        <f>9514</f>
      </c>
      <c r="B9522" s="5" t="s">
        <v>8765</v>
      </c>
      <c r="C9522" s="5" t="s">
        <v>11</v>
      </c>
      <c r="D9522" s="5" t="s">
        <v>12</v>
      </c>
      <c r="E9522" s="5" t="s">
        <v>3962</v>
      </c>
    </row>
    <row r="9523" spans="1:5" x14ac:dyDescent="0.25">
      <c r="A9523" s="5">
        <f>9515</f>
      </c>
      <c r="B9523" s="5" t="s">
        <v>8766</v>
      </c>
      <c r="C9523" s="5" t="s">
        <v>11</v>
      </c>
      <c r="D9523" s="5" t="s">
        <v>12</v>
      </c>
      <c r="E9523" s="5" t="s">
        <v>3962</v>
      </c>
    </row>
    <row r="9524" spans="1:5" x14ac:dyDescent="0.25">
      <c r="A9524" s="5">
        <f>9516</f>
      </c>
      <c r="B9524" s="5" t="s">
        <v>8767</v>
      </c>
      <c r="C9524" s="5" t="s">
        <v>11</v>
      </c>
      <c r="D9524" s="5" t="s">
        <v>12</v>
      </c>
      <c r="E9524" s="5" t="s">
        <v>3962</v>
      </c>
    </row>
    <row r="9525" spans="1:5" x14ac:dyDescent="0.25">
      <c r="A9525" s="5">
        <f>9517</f>
      </c>
      <c r="B9525" s="5" t="s">
        <v>8768</v>
      </c>
      <c r="C9525" s="5" t="s">
        <v>11</v>
      </c>
      <c r="D9525" s="5" t="s">
        <v>12</v>
      </c>
      <c r="E9525" s="5" t="s">
        <v>3962</v>
      </c>
    </row>
    <row r="9526" spans="1:5" x14ac:dyDescent="0.25">
      <c r="A9526" s="5">
        <f>9518</f>
      </c>
      <c r="B9526" s="5" t="s">
        <v>8769</v>
      </c>
      <c r="C9526" s="5" t="s">
        <v>11</v>
      </c>
      <c r="D9526" s="5" t="s">
        <v>12</v>
      </c>
      <c r="E9526" s="5" t="s">
        <v>3962</v>
      </c>
    </row>
    <row r="9527" spans="1:5" x14ac:dyDescent="0.25">
      <c r="A9527" s="5">
        <f>9519</f>
      </c>
      <c r="B9527" s="5" t="s">
        <v>8770</v>
      </c>
      <c r="C9527" s="5" t="s">
        <v>11</v>
      </c>
      <c r="D9527" s="5" t="s">
        <v>12</v>
      </c>
      <c r="E9527" s="5" t="s">
        <v>3962</v>
      </c>
    </row>
    <row r="9528" spans="1:5" x14ac:dyDescent="0.25">
      <c r="A9528" s="5">
        <f>9520</f>
      </c>
      <c r="B9528" s="5" t="s">
        <v>8771</v>
      </c>
      <c r="C9528" s="5" t="s">
        <v>11</v>
      </c>
      <c r="D9528" s="5" t="s">
        <v>12</v>
      </c>
      <c r="E9528" s="5" t="s">
        <v>3962</v>
      </c>
    </row>
    <row r="9529" spans="1:5" x14ac:dyDescent="0.25">
      <c r="A9529" s="5">
        <f>9521</f>
      </c>
      <c r="B9529" s="5" t="s">
        <v>8772</v>
      </c>
      <c r="C9529" s="5" t="s">
        <v>11</v>
      </c>
      <c r="D9529" s="5" t="s">
        <v>12</v>
      </c>
      <c r="E9529" s="5" t="s">
        <v>3962</v>
      </c>
    </row>
    <row r="9530" spans="1:5" x14ac:dyDescent="0.25">
      <c r="A9530" s="5">
        <f>9522</f>
      </c>
      <c r="B9530" s="5" t="s">
        <v>8773</v>
      </c>
      <c r="C9530" s="5" t="s">
        <v>11</v>
      </c>
      <c r="D9530" s="5" t="s">
        <v>12</v>
      </c>
      <c r="E9530" s="5" t="s">
        <v>3962</v>
      </c>
    </row>
    <row r="9531" spans="1:5" x14ac:dyDescent="0.25">
      <c r="A9531" s="5">
        <f>9523</f>
      </c>
      <c r="B9531" s="5" t="s">
        <v>8774</v>
      </c>
      <c r="C9531" s="5" t="s">
        <v>11</v>
      </c>
      <c r="D9531" s="5" t="s">
        <v>12</v>
      </c>
      <c r="E9531" s="5" t="s">
        <v>3962</v>
      </c>
    </row>
    <row r="9532" spans="1:5" x14ac:dyDescent="0.25">
      <c r="A9532" s="5">
        <f>9524</f>
      </c>
      <c r="B9532" s="5" t="s">
        <v>8775</v>
      </c>
      <c r="C9532" s="5" t="s">
        <v>11</v>
      </c>
      <c r="D9532" s="5" t="s">
        <v>12</v>
      </c>
      <c r="E9532" s="5" t="s">
        <v>3962</v>
      </c>
    </row>
    <row r="9533" spans="1:5" x14ac:dyDescent="0.25">
      <c r="A9533" s="5">
        <f>9525</f>
      </c>
      <c r="B9533" s="5" t="s">
        <v>8776</v>
      </c>
      <c r="C9533" s="5" t="s">
        <v>11</v>
      </c>
      <c r="D9533" s="5" t="s">
        <v>12</v>
      </c>
      <c r="E9533" s="5" t="s">
        <v>3962</v>
      </c>
    </row>
    <row r="9534" spans="1:5" x14ac:dyDescent="0.25">
      <c r="A9534" s="5">
        <f>9526</f>
      </c>
      <c r="B9534" s="5" t="s">
        <v>8777</v>
      </c>
      <c r="C9534" s="5" t="s">
        <v>11</v>
      </c>
      <c r="D9534" s="5" t="s">
        <v>12</v>
      </c>
      <c r="E9534" s="5" t="s">
        <v>3962</v>
      </c>
    </row>
    <row r="9535" spans="1:5" x14ac:dyDescent="0.25">
      <c r="A9535" s="5">
        <f>9527</f>
      </c>
      <c r="B9535" s="5" t="s">
        <v>8778</v>
      </c>
      <c r="C9535" s="5" t="s">
        <v>11</v>
      </c>
      <c r="D9535" s="5" t="s">
        <v>12</v>
      </c>
      <c r="E9535" s="5" t="s">
        <v>3962</v>
      </c>
    </row>
    <row r="9536" spans="1:5" x14ac:dyDescent="0.25">
      <c r="A9536" s="5">
        <f>9528</f>
      </c>
      <c r="B9536" s="5" t="s">
        <v>8779</v>
      </c>
      <c r="C9536" s="5" t="s">
        <v>11</v>
      </c>
      <c r="D9536" s="5" t="s">
        <v>12</v>
      </c>
      <c r="E9536" s="5" t="s">
        <v>3962</v>
      </c>
    </row>
    <row r="9537" spans="1:5" x14ac:dyDescent="0.25">
      <c r="A9537" s="5">
        <f>9529</f>
      </c>
      <c r="B9537" s="5" t="s">
        <v>8780</v>
      </c>
      <c r="C9537" s="5" t="s">
        <v>11</v>
      </c>
      <c r="D9537" s="5" t="s">
        <v>12</v>
      </c>
      <c r="E9537" s="5" t="s">
        <v>3962</v>
      </c>
    </row>
    <row r="9538" spans="1:5" x14ac:dyDescent="0.25">
      <c r="A9538" s="5">
        <f>9530</f>
      </c>
      <c r="B9538" s="5" t="s">
        <v>8781</v>
      </c>
      <c r="C9538" s="5" t="s">
        <v>11</v>
      </c>
      <c r="D9538" s="5" t="s">
        <v>12</v>
      </c>
      <c r="E9538" s="5" t="s">
        <v>3962</v>
      </c>
    </row>
    <row r="9539" spans="1:5" x14ac:dyDescent="0.25">
      <c r="A9539" s="5">
        <f>9531</f>
      </c>
      <c r="B9539" s="5" t="s">
        <v>8782</v>
      </c>
      <c r="C9539" s="5" t="s">
        <v>11</v>
      </c>
      <c r="D9539" s="5" t="s">
        <v>12</v>
      </c>
      <c r="E9539" s="5" t="s">
        <v>3962</v>
      </c>
    </row>
    <row r="9540" spans="1:5" x14ac:dyDescent="0.25">
      <c r="A9540" s="5">
        <f>9532</f>
      </c>
      <c r="B9540" s="5" t="s">
        <v>8783</v>
      </c>
      <c r="C9540" s="5" t="s">
        <v>11</v>
      </c>
      <c r="D9540" s="5" t="s">
        <v>12</v>
      </c>
      <c r="E9540" s="5" t="s">
        <v>3962</v>
      </c>
    </row>
    <row r="9541" spans="1:5" x14ac:dyDescent="0.25">
      <c r="A9541" s="5">
        <f>9533</f>
      </c>
      <c r="B9541" s="5" t="s">
        <v>8784</v>
      </c>
      <c r="C9541" s="5" t="s">
        <v>11</v>
      </c>
      <c r="D9541" s="5" t="s">
        <v>12</v>
      </c>
      <c r="E9541" s="5" t="s">
        <v>3962</v>
      </c>
    </row>
    <row r="9542" spans="1:5" x14ac:dyDescent="0.25">
      <c r="A9542" s="5">
        <f>9534</f>
      </c>
      <c r="B9542" s="5" t="s">
        <v>8785</v>
      </c>
      <c r="C9542" s="5" t="s">
        <v>11</v>
      </c>
      <c r="D9542" s="5" t="s">
        <v>12</v>
      </c>
      <c r="E9542" s="5" t="s">
        <v>3962</v>
      </c>
    </row>
    <row r="9543" spans="1:5" x14ac:dyDescent="0.25">
      <c r="A9543" s="5">
        <f>9535</f>
      </c>
      <c r="B9543" s="5" t="s">
        <v>8786</v>
      </c>
      <c r="C9543" s="5" t="s">
        <v>11</v>
      </c>
      <c r="D9543" s="5" t="s">
        <v>12</v>
      </c>
      <c r="E9543" s="5" t="s">
        <v>3962</v>
      </c>
    </row>
    <row r="9544" spans="1:5" x14ac:dyDescent="0.25">
      <c r="A9544" s="5">
        <f>9536</f>
      </c>
      <c r="B9544" s="5" t="s">
        <v>8787</v>
      </c>
      <c r="C9544" s="5" t="s">
        <v>11</v>
      </c>
      <c r="D9544" s="5" t="s">
        <v>12</v>
      </c>
      <c r="E9544" s="5" t="s">
        <v>3962</v>
      </c>
    </row>
    <row r="9545" spans="1:5" x14ac:dyDescent="0.25">
      <c r="A9545" s="5">
        <f>9537</f>
      </c>
      <c r="B9545" s="5" t="s">
        <v>8788</v>
      </c>
      <c r="C9545" s="5" t="s">
        <v>11</v>
      </c>
      <c r="D9545" s="5" t="s">
        <v>12</v>
      </c>
      <c r="E9545" s="5" t="s">
        <v>3962</v>
      </c>
    </row>
    <row r="9546" spans="1:5" x14ac:dyDescent="0.25">
      <c r="A9546" s="5">
        <f>9538</f>
      </c>
      <c r="B9546" s="5" t="s">
        <v>8789</v>
      </c>
      <c r="C9546" s="5" t="s">
        <v>11</v>
      </c>
      <c r="D9546" s="5" t="s">
        <v>12</v>
      </c>
      <c r="E9546" s="5" t="s">
        <v>3962</v>
      </c>
    </row>
    <row r="9547" spans="1:5" x14ac:dyDescent="0.25">
      <c r="A9547" s="5">
        <f>9539</f>
      </c>
      <c r="B9547" s="5" t="s">
        <v>8790</v>
      </c>
      <c r="C9547" s="5" t="s">
        <v>11</v>
      </c>
      <c r="D9547" s="5" t="s">
        <v>12</v>
      </c>
      <c r="E9547" s="5" t="s">
        <v>3962</v>
      </c>
    </row>
    <row r="9548" spans="1:5" x14ac:dyDescent="0.25">
      <c r="A9548" s="5">
        <f>9540</f>
      </c>
      <c r="B9548" s="5" t="s">
        <v>8791</v>
      </c>
      <c r="C9548" s="5" t="s">
        <v>11</v>
      </c>
      <c r="D9548" s="5" t="s">
        <v>12</v>
      </c>
      <c r="E9548" s="5" t="s">
        <v>3962</v>
      </c>
    </row>
    <row r="9549" spans="1:5" x14ac:dyDescent="0.25">
      <c r="A9549" s="5">
        <f>9541</f>
      </c>
      <c r="B9549" s="5" t="s">
        <v>8792</v>
      </c>
      <c r="C9549" s="5" t="s">
        <v>11</v>
      </c>
      <c r="D9549" s="5" t="s">
        <v>12</v>
      </c>
      <c r="E9549" s="5" t="s">
        <v>3962</v>
      </c>
    </row>
    <row r="9550" spans="1:5" x14ac:dyDescent="0.25">
      <c r="A9550" s="5">
        <f>9542</f>
      </c>
      <c r="B9550" s="5" t="s">
        <v>8793</v>
      </c>
      <c r="C9550" s="5" t="s">
        <v>11</v>
      </c>
      <c r="D9550" s="5" t="s">
        <v>12</v>
      </c>
      <c r="E9550" s="5" t="s">
        <v>3962</v>
      </c>
    </row>
    <row r="9551" spans="1:5" x14ac:dyDescent="0.25">
      <c r="A9551" s="5">
        <f>9543</f>
      </c>
      <c r="B9551" s="5" t="s">
        <v>8794</v>
      </c>
      <c r="C9551" s="5" t="s">
        <v>11</v>
      </c>
      <c r="D9551" s="5" t="s">
        <v>12</v>
      </c>
      <c r="E9551" s="5" t="s">
        <v>3962</v>
      </c>
    </row>
    <row r="9552" spans="1:5" x14ac:dyDescent="0.25">
      <c r="A9552" s="5">
        <f>9544</f>
      </c>
      <c r="B9552" s="5" t="s">
        <v>8795</v>
      </c>
      <c r="C9552" s="5" t="s">
        <v>11</v>
      </c>
      <c r="D9552" s="5" t="s">
        <v>12</v>
      </c>
      <c r="E9552" s="5" t="s">
        <v>3962</v>
      </c>
    </row>
    <row r="9553" spans="1:5" x14ac:dyDescent="0.25">
      <c r="A9553" s="5">
        <f>9545</f>
      </c>
      <c r="B9553" s="5" t="s">
        <v>8796</v>
      </c>
      <c r="C9553" s="5" t="s">
        <v>11</v>
      </c>
      <c r="D9553" s="5" t="s">
        <v>12</v>
      </c>
      <c r="E9553" s="5" t="s">
        <v>3962</v>
      </c>
    </row>
    <row r="9554" spans="1:5" x14ac:dyDescent="0.25">
      <c r="A9554" s="5">
        <f>9546</f>
      </c>
      <c r="B9554" s="5" t="s">
        <v>8797</v>
      </c>
      <c r="C9554" s="5" t="s">
        <v>11</v>
      </c>
      <c r="D9554" s="5" t="s">
        <v>12</v>
      </c>
      <c r="E9554" s="5" t="s">
        <v>3962</v>
      </c>
    </row>
    <row r="9555" spans="1:5" x14ac:dyDescent="0.25">
      <c r="A9555" s="5">
        <f>9547</f>
      </c>
      <c r="B9555" s="5" t="s">
        <v>8798</v>
      </c>
      <c r="C9555" s="5" t="s">
        <v>11</v>
      </c>
      <c r="D9555" s="5" t="s">
        <v>12</v>
      </c>
      <c r="E9555" s="5" t="s">
        <v>3962</v>
      </c>
    </row>
    <row r="9556" spans="1:5" x14ac:dyDescent="0.25">
      <c r="A9556" s="5">
        <f>9548</f>
      </c>
      <c r="B9556" s="5" t="s">
        <v>8799</v>
      </c>
      <c r="C9556" s="5" t="s">
        <v>11</v>
      </c>
      <c r="D9556" s="5" t="s">
        <v>12</v>
      </c>
      <c r="E9556" s="5" t="s">
        <v>3962</v>
      </c>
    </row>
    <row r="9557" spans="1:5" x14ac:dyDescent="0.25">
      <c r="A9557" s="5">
        <f>9549</f>
      </c>
      <c r="B9557" s="5" t="s">
        <v>8800</v>
      </c>
      <c r="C9557" s="5" t="s">
        <v>11</v>
      </c>
      <c r="D9557" s="5" t="s">
        <v>12</v>
      </c>
      <c r="E9557" s="5" t="s">
        <v>3962</v>
      </c>
    </row>
    <row r="9558" spans="1:5" x14ac:dyDescent="0.25">
      <c r="A9558" s="5">
        <f>9550</f>
      </c>
      <c r="B9558" s="5" t="s">
        <v>8801</v>
      </c>
      <c r="C9558" s="5" t="s">
        <v>11</v>
      </c>
      <c r="D9558" s="5" t="s">
        <v>12</v>
      </c>
      <c r="E9558" s="5" t="s">
        <v>3962</v>
      </c>
    </row>
    <row r="9559" spans="1:5" x14ac:dyDescent="0.25">
      <c r="A9559" s="5">
        <f>9551</f>
      </c>
      <c r="B9559" s="5" t="s">
        <v>8802</v>
      </c>
      <c r="C9559" s="5" t="s">
        <v>11</v>
      </c>
      <c r="D9559" s="5" t="s">
        <v>12</v>
      </c>
      <c r="E9559" s="5" t="s">
        <v>3962</v>
      </c>
    </row>
    <row r="9560" spans="1:5" x14ac:dyDescent="0.25">
      <c r="A9560" s="5">
        <f>9552</f>
      </c>
      <c r="B9560" s="5" t="s">
        <v>8803</v>
      </c>
      <c r="C9560" s="5" t="s">
        <v>11</v>
      </c>
      <c r="D9560" s="5" t="s">
        <v>12</v>
      </c>
      <c r="E9560" s="5" t="s">
        <v>3962</v>
      </c>
    </row>
    <row r="9561" spans="1:5" x14ac:dyDescent="0.25">
      <c r="A9561" s="5">
        <f>9553</f>
      </c>
      <c r="B9561" s="5" t="s">
        <v>8804</v>
      </c>
      <c r="C9561" s="5" t="s">
        <v>11</v>
      </c>
      <c r="D9561" s="5" t="s">
        <v>12</v>
      </c>
      <c r="E9561" s="5" t="s">
        <v>3962</v>
      </c>
    </row>
    <row r="9562" spans="1:5" x14ac:dyDescent="0.25">
      <c r="A9562" s="5">
        <f>9554</f>
      </c>
      <c r="B9562" s="5" t="s">
        <v>8805</v>
      </c>
      <c r="C9562" s="5" t="s">
        <v>11</v>
      </c>
      <c r="D9562" s="5" t="s">
        <v>12</v>
      </c>
      <c r="E9562" s="5" t="s">
        <v>3962</v>
      </c>
    </row>
    <row r="9563" spans="1:5" x14ac:dyDescent="0.25">
      <c r="A9563" s="5">
        <f>9555</f>
      </c>
      <c r="B9563" s="5" t="s">
        <v>8806</v>
      </c>
      <c r="C9563" s="5" t="s">
        <v>11</v>
      </c>
      <c r="D9563" s="5" t="s">
        <v>12</v>
      </c>
      <c r="E9563" s="5" t="s">
        <v>3962</v>
      </c>
    </row>
    <row r="9564" spans="1:5" x14ac:dyDescent="0.25">
      <c r="A9564" s="5">
        <f>9556</f>
      </c>
      <c r="B9564" s="5" t="s">
        <v>8807</v>
      </c>
      <c r="C9564" s="5" t="s">
        <v>11</v>
      </c>
      <c r="D9564" s="5" t="s">
        <v>12</v>
      </c>
      <c r="E9564" s="5" t="s">
        <v>3962</v>
      </c>
    </row>
    <row r="9565" spans="1:5" x14ac:dyDescent="0.25">
      <c r="A9565" s="5">
        <f>9557</f>
      </c>
      <c r="B9565" s="5" t="s">
        <v>8808</v>
      </c>
      <c r="C9565" s="5" t="s">
        <v>11</v>
      </c>
      <c r="D9565" s="5" t="s">
        <v>12</v>
      </c>
      <c r="E9565" s="5" t="s">
        <v>3962</v>
      </c>
    </row>
    <row r="9566" spans="1:5" x14ac:dyDescent="0.25">
      <c r="A9566" s="5">
        <f>9558</f>
      </c>
      <c r="B9566" s="5" t="s">
        <v>8809</v>
      </c>
      <c r="C9566" s="5" t="s">
        <v>11</v>
      </c>
      <c r="D9566" s="5" t="s">
        <v>12</v>
      </c>
      <c r="E9566" s="5" t="s">
        <v>3962</v>
      </c>
    </row>
    <row r="9567" spans="1:5" x14ac:dyDescent="0.25">
      <c r="A9567" s="5">
        <f>9559</f>
      </c>
      <c r="B9567" s="5" t="s">
        <v>8810</v>
      </c>
      <c r="C9567" s="5" t="s">
        <v>11</v>
      </c>
      <c r="D9567" s="5" t="s">
        <v>12</v>
      </c>
      <c r="E9567" s="5" t="s">
        <v>3962</v>
      </c>
    </row>
    <row r="9568" spans="1:5" x14ac:dyDescent="0.25">
      <c r="A9568" s="5">
        <f>9560</f>
      </c>
      <c r="B9568" s="5" t="s">
        <v>8811</v>
      </c>
      <c r="C9568" s="5" t="s">
        <v>11</v>
      </c>
      <c r="D9568" s="5" t="s">
        <v>12</v>
      </c>
      <c r="E9568" s="5" t="s">
        <v>3962</v>
      </c>
    </row>
    <row r="9569" spans="1:5" x14ac:dyDescent="0.25">
      <c r="A9569" s="5">
        <f>9561</f>
      </c>
      <c r="B9569" s="5" t="s">
        <v>8812</v>
      </c>
      <c r="C9569" s="5" t="s">
        <v>11</v>
      </c>
      <c r="D9569" s="5" t="s">
        <v>12</v>
      </c>
      <c r="E9569" s="5" t="s">
        <v>3962</v>
      </c>
    </row>
    <row r="9570" spans="1:5" x14ac:dyDescent="0.25">
      <c r="A9570" s="5">
        <f>9562</f>
      </c>
      <c r="B9570" s="5" t="s">
        <v>8813</v>
      </c>
      <c r="C9570" s="5" t="s">
        <v>11</v>
      </c>
      <c r="D9570" s="5" t="s">
        <v>12</v>
      </c>
      <c r="E9570" s="5" t="s">
        <v>3962</v>
      </c>
    </row>
    <row r="9571" spans="1:5" x14ac:dyDescent="0.25">
      <c r="A9571" s="5">
        <f>9563</f>
      </c>
      <c r="B9571" s="5" t="s">
        <v>8814</v>
      </c>
      <c r="C9571" s="5" t="s">
        <v>11</v>
      </c>
      <c r="D9571" s="5" t="s">
        <v>12</v>
      </c>
      <c r="E9571" s="5" t="s">
        <v>3962</v>
      </c>
    </row>
    <row r="9572" spans="1:5" x14ac:dyDescent="0.25">
      <c r="A9572" s="5">
        <f>9564</f>
      </c>
      <c r="B9572" s="5" t="s">
        <v>8815</v>
      </c>
      <c r="C9572" s="5" t="s">
        <v>11</v>
      </c>
      <c r="D9572" s="5" t="s">
        <v>12</v>
      </c>
      <c r="E9572" s="5" t="s">
        <v>3962</v>
      </c>
    </row>
    <row r="9573" spans="1:5" x14ac:dyDescent="0.25">
      <c r="A9573" s="5">
        <f>9565</f>
      </c>
      <c r="B9573" s="5" t="s">
        <v>8816</v>
      </c>
      <c r="C9573" s="5" t="s">
        <v>11</v>
      </c>
      <c r="D9573" s="5" t="s">
        <v>12</v>
      </c>
      <c r="E9573" s="5" t="s">
        <v>3962</v>
      </c>
    </row>
    <row r="9574" spans="1:5" x14ac:dyDescent="0.25">
      <c r="A9574" s="5">
        <f>9566</f>
      </c>
      <c r="B9574" s="5" t="s">
        <v>8817</v>
      </c>
      <c r="C9574" s="5" t="s">
        <v>11</v>
      </c>
      <c r="D9574" s="5" t="s">
        <v>12</v>
      </c>
      <c r="E9574" s="5" t="s">
        <v>3962</v>
      </c>
    </row>
    <row r="9575" spans="1:5" x14ac:dyDescent="0.25">
      <c r="A9575" s="5">
        <f>9567</f>
      </c>
      <c r="B9575" s="5" t="s">
        <v>8818</v>
      </c>
      <c r="C9575" s="5" t="s">
        <v>11</v>
      </c>
      <c r="D9575" s="5" t="s">
        <v>12</v>
      </c>
      <c r="E9575" s="5" t="s">
        <v>3962</v>
      </c>
    </row>
    <row r="9576" spans="1:5" x14ac:dyDescent="0.25">
      <c r="A9576" s="5">
        <f>9568</f>
      </c>
      <c r="B9576" s="5" t="s">
        <v>8819</v>
      </c>
      <c r="C9576" s="5" t="s">
        <v>11</v>
      </c>
      <c r="D9576" s="5" t="s">
        <v>12</v>
      </c>
      <c r="E9576" s="5" t="s">
        <v>3962</v>
      </c>
    </row>
    <row r="9577" spans="1:5" x14ac:dyDescent="0.25">
      <c r="A9577" s="5">
        <f>9569</f>
      </c>
      <c r="B9577" s="5" t="s">
        <v>8820</v>
      </c>
      <c r="C9577" s="5" t="s">
        <v>11</v>
      </c>
      <c r="D9577" s="5" t="s">
        <v>12</v>
      </c>
      <c r="E9577" s="5" t="s">
        <v>3962</v>
      </c>
    </row>
    <row r="9578" spans="1:5" x14ac:dyDescent="0.25">
      <c r="A9578" s="5">
        <f>9570</f>
      </c>
      <c r="B9578" s="5" t="s">
        <v>8821</v>
      </c>
      <c r="C9578" s="5" t="s">
        <v>11</v>
      </c>
      <c r="D9578" s="5" t="s">
        <v>12</v>
      </c>
      <c r="E9578" s="5" t="s">
        <v>3962</v>
      </c>
    </row>
    <row r="9579" spans="1:5" x14ac:dyDescent="0.25">
      <c r="A9579" s="5">
        <f>9571</f>
      </c>
      <c r="B9579" s="5" t="s">
        <v>8822</v>
      </c>
      <c r="C9579" s="5" t="s">
        <v>11</v>
      </c>
      <c r="D9579" s="5" t="s">
        <v>12</v>
      </c>
      <c r="E9579" s="5" t="s">
        <v>3962</v>
      </c>
    </row>
    <row r="9580" spans="1:5" x14ac:dyDescent="0.25">
      <c r="A9580" s="5">
        <f>9572</f>
      </c>
      <c r="B9580" s="5" t="s">
        <v>8823</v>
      </c>
      <c r="C9580" s="5" t="s">
        <v>11</v>
      </c>
      <c r="D9580" s="5" t="s">
        <v>12</v>
      </c>
      <c r="E9580" s="5" t="s">
        <v>3962</v>
      </c>
    </row>
    <row r="9581" spans="1:5" x14ac:dyDescent="0.25">
      <c r="A9581" s="5">
        <f>9573</f>
      </c>
      <c r="B9581" s="5" t="s">
        <v>8824</v>
      </c>
      <c r="C9581" s="5" t="s">
        <v>11</v>
      </c>
      <c r="D9581" s="5" t="s">
        <v>12</v>
      </c>
      <c r="E9581" s="5" t="s">
        <v>3962</v>
      </c>
    </row>
    <row r="9582" spans="1:5" x14ac:dyDescent="0.25">
      <c r="A9582" s="5">
        <f>9574</f>
      </c>
      <c r="B9582" s="5" t="s">
        <v>8825</v>
      </c>
      <c r="C9582" s="5" t="s">
        <v>11</v>
      </c>
      <c r="D9582" s="5" t="s">
        <v>12</v>
      </c>
      <c r="E9582" s="5" t="s">
        <v>3962</v>
      </c>
    </row>
    <row r="9583" spans="1:5" x14ac:dyDescent="0.25">
      <c r="A9583" s="5">
        <f>9575</f>
      </c>
      <c r="B9583" s="5" t="s">
        <v>8826</v>
      </c>
      <c r="C9583" s="5" t="s">
        <v>11</v>
      </c>
      <c r="D9583" s="5" t="s">
        <v>12</v>
      </c>
      <c r="E9583" s="5" t="s">
        <v>3962</v>
      </c>
    </row>
    <row r="9584" spans="1:5" x14ac:dyDescent="0.25">
      <c r="A9584" s="5">
        <f>9576</f>
      </c>
      <c r="B9584" s="5" t="s">
        <v>8827</v>
      </c>
      <c r="C9584" s="5" t="s">
        <v>11</v>
      </c>
      <c r="D9584" s="5" t="s">
        <v>12</v>
      </c>
      <c r="E9584" s="5" t="s">
        <v>3962</v>
      </c>
    </row>
    <row r="9585" spans="1:5" x14ac:dyDescent="0.25">
      <c r="A9585" s="5">
        <f>9577</f>
      </c>
      <c r="B9585" s="5" t="s">
        <v>8828</v>
      </c>
      <c r="C9585" s="5" t="s">
        <v>11</v>
      </c>
      <c r="D9585" s="5" t="s">
        <v>12</v>
      </c>
      <c r="E9585" s="5" t="s">
        <v>3962</v>
      </c>
    </row>
    <row r="9586" spans="1:5" x14ac:dyDescent="0.25">
      <c r="A9586" s="5">
        <f>9578</f>
      </c>
      <c r="B9586" s="5" t="s">
        <v>8829</v>
      </c>
      <c r="C9586" s="5" t="s">
        <v>11</v>
      </c>
      <c r="D9586" s="5" t="s">
        <v>12</v>
      </c>
      <c r="E9586" s="5" t="s">
        <v>3962</v>
      </c>
    </row>
    <row r="9587" spans="1:5" x14ac:dyDescent="0.25">
      <c r="A9587" s="5">
        <f>9579</f>
      </c>
      <c r="B9587" s="5" t="s">
        <v>8830</v>
      </c>
      <c r="C9587" s="5" t="s">
        <v>11</v>
      </c>
      <c r="D9587" s="5" t="s">
        <v>12</v>
      </c>
      <c r="E9587" s="5" t="s">
        <v>3962</v>
      </c>
    </row>
    <row r="9588" spans="1:5" x14ac:dyDescent="0.25">
      <c r="A9588" s="5">
        <f>9580</f>
      </c>
      <c r="B9588" s="5" t="s">
        <v>8831</v>
      </c>
      <c r="C9588" s="5" t="s">
        <v>11</v>
      </c>
      <c r="D9588" s="5" t="s">
        <v>12</v>
      </c>
      <c r="E9588" s="5" t="s">
        <v>3962</v>
      </c>
    </row>
    <row r="9589" spans="1:5" x14ac:dyDescent="0.25">
      <c r="A9589" s="5">
        <f>9581</f>
      </c>
      <c r="B9589" s="5" t="s">
        <v>8832</v>
      </c>
      <c r="C9589" s="5" t="s">
        <v>11</v>
      </c>
      <c r="D9589" s="5" t="s">
        <v>12</v>
      </c>
      <c r="E9589" s="5" t="s">
        <v>3962</v>
      </c>
    </row>
    <row r="9590" spans="1:5" x14ac:dyDescent="0.25">
      <c r="A9590" s="5">
        <f>9582</f>
      </c>
      <c r="B9590" s="5" t="s">
        <v>8833</v>
      </c>
      <c r="C9590" s="5" t="s">
        <v>11</v>
      </c>
      <c r="D9590" s="5" t="s">
        <v>12</v>
      </c>
      <c r="E9590" s="5" t="s">
        <v>3962</v>
      </c>
    </row>
    <row r="9591" spans="1:5" x14ac:dyDescent="0.25">
      <c r="A9591" s="5">
        <f>9583</f>
      </c>
      <c r="B9591" s="5" t="s">
        <v>8834</v>
      </c>
      <c r="C9591" s="5" t="s">
        <v>11</v>
      </c>
      <c r="D9591" s="5" t="s">
        <v>12</v>
      </c>
      <c r="E9591" s="5" t="s">
        <v>3962</v>
      </c>
    </row>
    <row r="9592" spans="1:5" x14ac:dyDescent="0.25">
      <c r="A9592" s="5">
        <f>9584</f>
      </c>
      <c r="B9592" s="5" t="s">
        <v>8835</v>
      </c>
      <c r="C9592" s="5" t="s">
        <v>11</v>
      </c>
      <c r="D9592" s="5" t="s">
        <v>12</v>
      </c>
      <c r="E9592" s="5" t="s">
        <v>3962</v>
      </c>
    </row>
    <row r="9593" spans="1:5" x14ac:dyDescent="0.25">
      <c r="A9593" s="5">
        <f>9585</f>
      </c>
      <c r="B9593" s="5" t="s">
        <v>8836</v>
      </c>
      <c r="C9593" s="5" t="s">
        <v>11</v>
      </c>
      <c r="D9593" s="5" t="s">
        <v>12</v>
      </c>
      <c r="E9593" s="5" t="s">
        <v>3962</v>
      </c>
    </row>
    <row r="9594" spans="1:5" x14ac:dyDescent="0.25">
      <c r="A9594" s="5">
        <f>9586</f>
      </c>
      <c r="B9594" s="5" t="s">
        <v>8837</v>
      </c>
      <c r="C9594" s="5" t="s">
        <v>11</v>
      </c>
      <c r="D9594" s="5" t="s">
        <v>12</v>
      </c>
      <c r="E9594" s="5" t="s">
        <v>3962</v>
      </c>
    </row>
    <row r="9595" spans="1:5" x14ac:dyDescent="0.25">
      <c r="A9595" s="5">
        <f>9587</f>
      </c>
      <c r="B9595" s="5" t="s">
        <v>8838</v>
      </c>
      <c r="C9595" s="5" t="s">
        <v>11</v>
      </c>
      <c r="D9595" s="5" t="s">
        <v>12</v>
      </c>
      <c r="E9595" s="5" t="s">
        <v>3962</v>
      </c>
    </row>
    <row r="9596" spans="1:5" x14ac:dyDescent="0.25">
      <c r="A9596" s="5">
        <f>9588</f>
      </c>
      <c r="B9596" s="5" t="s">
        <v>8839</v>
      </c>
      <c r="C9596" s="5" t="s">
        <v>11</v>
      </c>
      <c r="D9596" s="5" t="s">
        <v>12</v>
      </c>
      <c r="E9596" s="5" t="s">
        <v>3962</v>
      </c>
    </row>
    <row r="9597" spans="1:5" x14ac:dyDescent="0.25">
      <c r="A9597" s="5">
        <f>9589</f>
      </c>
      <c r="B9597" s="5" t="s">
        <v>8840</v>
      </c>
      <c r="C9597" s="5" t="s">
        <v>11</v>
      </c>
      <c r="D9597" s="5" t="s">
        <v>12</v>
      </c>
      <c r="E9597" s="5" t="s">
        <v>3962</v>
      </c>
    </row>
    <row r="9598" spans="1:5" x14ac:dyDescent="0.25">
      <c r="A9598" s="5">
        <f>9590</f>
      </c>
      <c r="B9598" s="5" t="s">
        <v>8841</v>
      </c>
      <c r="C9598" s="5" t="s">
        <v>11</v>
      </c>
      <c r="D9598" s="5" t="s">
        <v>12</v>
      </c>
      <c r="E9598" s="5" t="s">
        <v>3962</v>
      </c>
    </row>
    <row r="9599" spans="1:5" x14ac:dyDescent="0.25">
      <c r="A9599" s="5">
        <f>9591</f>
      </c>
      <c r="B9599" s="5" t="s">
        <v>8842</v>
      </c>
      <c r="C9599" s="5" t="s">
        <v>11</v>
      </c>
      <c r="D9599" s="5" t="s">
        <v>12</v>
      </c>
      <c r="E9599" s="5" t="s">
        <v>3962</v>
      </c>
    </row>
    <row r="9600" spans="1:5" x14ac:dyDescent="0.25">
      <c r="A9600" s="5">
        <f>9592</f>
      </c>
      <c r="B9600" s="5" t="s">
        <v>8843</v>
      </c>
      <c r="C9600" s="5" t="s">
        <v>11</v>
      </c>
      <c r="D9600" s="5" t="s">
        <v>12</v>
      </c>
      <c r="E9600" s="5" t="s">
        <v>3962</v>
      </c>
    </row>
    <row r="9601" spans="1:5" x14ac:dyDescent="0.25">
      <c r="A9601" s="5">
        <f>9593</f>
      </c>
      <c r="B9601" s="5" t="s">
        <v>8844</v>
      </c>
      <c r="C9601" s="5" t="s">
        <v>11</v>
      </c>
      <c r="D9601" s="5" t="s">
        <v>12</v>
      </c>
      <c r="E9601" s="5" t="s">
        <v>3962</v>
      </c>
    </row>
    <row r="9602" spans="1:5" x14ac:dyDescent="0.25">
      <c r="A9602" s="5">
        <f>9594</f>
      </c>
      <c r="B9602" s="5" t="s">
        <v>8845</v>
      </c>
      <c r="C9602" s="5" t="s">
        <v>11</v>
      </c>
      <c r="D9602" s="5" t="s">
        <v>12</v>
      </c>
      <c r="E9602" s="5" t="s">
        <v>3962</v>
      </c>
    </row>
    <row r="9603" spans="1:5" x14ac:dyDescent="0.25">
      <c r="A9603" s="5">
        <f>9595</f>
      </c>
      <c r="B9603" s="5" t="s">
        <v>8846</v>
      </c>
      <c r="C9603" s="5" t="s">
        <v>11</v>
      </c>
      <c r="D9603" s="5" t="s">
        <v>12</v>
      </c>
      <c r="E9603" s="5" t="s">
        <v>3962</v>
      </c>
    </row>
    <row r="9604" spans="1:5" x14ac:dyDescent="0.25">
      <c r="A9604" s="5">
        <f>9596</f>
      </c>
      <c r="B9604" s="5" t="s">
        <v>8847</v>
      </c>
      <c r="C9604" s="5" t="s">
        <v>11</v>
      </c>
      <c r="D9604" s="5" t="s">
        <v>12</v>
      </c>
      <c r="E9604" s="5" t="s">
        <v>3962</v>
      </c>
    </row>
    <row r="9605" spans="1:5" x14ac:dyDescent="0.25">
      <c r="A9605" s="5">
        <f>9597</f>
      </c>
      <c r="B9605" s="5" t="s">
        <v>8848</v>
      </c>
      <c r="C9605" s="5" t="s">
        <v>11</v>
      </c>
      <c r="D9605" s="5" t="s">
        <v>12</v>
      </c>
      <c r="E9605" s="5" t="s">
        <v>3962</v>
      </c>
    </row>
    <row r="9606" spans="1:5" x14ac:dyDescent="0.25">
      <c r="A9606" s="5">
        <f>9598</f>
      </c>
      <c r="B9606" s="5" t="s">
        <v>8849</v>
      </c>
      <c r="C9606" s="5" t="s">
        <v>11</v>
      </c>
      <c r="D9606" s="5" t="s">
        <v>12</v>
      </c>
      <c r="E9606" s="5" t="s">
        <v>3962</v>
      </c>
    </row>
    <row r="9607" spans="1:5" x14ac:dyDescent="0.25">
      <c r="A9607" s="5">
        <f>9599</f>
      </c>
      <c r="B9607" s="5" t="s">
        <v>8850</v>
      </c>
      <c r="C9607" s="5" t="s">
        <v>11</v>
      </c>
      <c r="D9607" s="5" t="s">
        <v>12</v>
      </c>
      <c r="E9607" s="5" t="s">
        <v>3962</v>
      </c>
    </row>
    <row r="9608" spans="1:5" x14ac:dyDescent="0.25">
      <c r="A9608" s="5">
        <f>9600</f>
      </c>
      <c r="B9608" s="5" t="s">
        <v>8851</v>
      </c>
      <c r="C9608" s="5" t="s">
        <v>11</v>
      </c>
      <c r="D9608" s="5" t="s">
        <v>12</v>
      </c>
      <c r="E9608" s="5" t="s">
        <v>3962</v>
      </c>
    </row>
    <row r="9609" spans="1:5" x14ac:dyDescent="0.25">
      <c r="A9609" s="5">
        <f>9601</f>
      </c>
      <c r="B9609" s="5" t="s">
        <v>8852</v>
      </c>
      <c r="C9609" s="5" t="s">
        <v>11</v>
      </c>
      <c r="D9609" s="5" t="s">
        <v>12</v>
      </c>
      <c r="E9609" s="5" t="s">
        <v>3962</v>
      </c>
    </row>
    <row r="9610" spans="1:5" x14ac:dyDescent="0.25">
      <c r="A9610" s="5">
        <f>9602</f>
      </c>
      <c r="B9610" s="5" t="s">
        <v>8853</v>
      </c>
      <c r="C9610" s="5" t="s">
        <v>11</v>
      </c>
      <c r="D9610" s="5" t="s">
        <v>12</v>
      </c>
      <c r="E9610" s="5" t="s">
        <v>3962</v>
      </c>
    </row>
    <row r="9611" spans="1:5" x14ac:dyDescent="0.25">
      <c r="A9611" s="5">
        <f>9603</f>
      </c>
      <c r="B9611" s="5" t="s">
        <v>8854</v>
      </c>
      <c r="C9611" s="5" t="s">
        <v>11</v>
      </c>
      <c r="D9611" s="5" t="s">
        <v>12</v>
      </c>
      <c r="E9611" s="5" t="s">
        <v>3962</v>
      </c>
    </row>
    <row r="9612" spans="1:5" x14ac:dyDescent="0.25">
      <c r="A9612" s="5">
        <f>9604</f>
      </c>
      <c r="B9612" s="5" t="s">
        <v>8855</v>
      </c>
      <c r="C9612" s="5" t="s">
        <v>11</v>
      </c>
      <c r="D9612" s="5" t="s">
        <v>12</v>
      </c>
      <c r="E9612" s="5" t="s">
        <v>3962</v>
      </c>
    </row>
    <row r="9613" spans="1:5" x14ac:dyDescent="0.25">
      <c r="A9613" s="5">
        <f>9605</f>
      </c>
      <c r="B9613" s="5" t="s">
        <v>8856</v>
      </c>
      <c r="C9613" s="5" t="s">
        <v>11</v>
      </c>
      <c r="D9613" s="5" t="s">
        <v>12</v>
      </c>
      <c r="E9613" s="5" t="s">
        <v>3962</v>
      </c>
    </row>
    <row r="9614" spans="1:5" x14ac:dyDescent="0.25">
      <c r="A9614" s="5">
        <f>9606</f>
      </c>
      <c r="B9614" s="5" t="s">
        <v>8857</v>
      </c>
      <c r="C9614" s="5" t="s">
        <v>11</v>
      </c>
      <c r="D9614" s="5" t="s">
        <v>12</v>
      </c>
      <c r="E9614" s="5" t="s">
        <v>3962</v>
      </c>
    </row>
    <row r="9615" spans="1:5" x14ac:dyDescent="0.25">
      <c r="A9615" s="5">
        <f>9607</f>
      </c>
      <c r="B9615" s="5" t="s">
        <v>8858</v>
      </c>
      <c r="C9615" s="5" t="s">
        <v>11</v>
      </c>
      <c r="D9615" s="5" t="s">
        <v>12</v>
      </c>
      <c r="E9615" s="5" t="s">
        <v>3962</v>
      </c>
    </row>
    <row r="9616" spans="1:5" x14ac:dyDescent="0.25">
      <c r="A9616" s="5">
        <f>9608</f>
      </c>
      <c r="B9616" s="5" t="s">
        <v>8859</v>
      </c>
      <c r="C9616" s="5" t="s">
        <v>11</v>
      </c>
      <c r="D9616" s="5" t="s">
        <v>12</v>
      </c>
      <c r="E9616" s="5" t="s">
        <v>3962</v>
      </c>
    </row>
    <row r="9617" spans="1:5" x14ac:dyDescent="0.25">
      <c r="A9617" s="5">
        <f>9609</f>
      </c>
      <c r="B9617" s="5" t="s">
        <v>8860</v>
      </c>
      <c r="C9617" s="5" t="s">
        <v>11</v>
      </c>
      <c r="D9617" s="5" t="s">
        <v>12</v>
      </c>
      <c r="E9617" s="5" t="s">
        <v>3962</v>
      </c>
    </row>
    <row r="9618" spans="1:5" x14ac:dyDescent="0.25">
      <c r="A9618" s="5">
        <f>9610</f>
      </c>
      <c r="B9618" s="5" t="s">
        <v>8861</v>
      </c>
      <c r="C9618" s="5" t="s">
        <v>11</v>
      </c>
      <c r="D9618" s="5" t="s">
        <v>12</v>
      </c>
      <c r="E9618" s="5" t="s">
        <v>3962</v>
      </c>
    </row>
    <row r="9619" spans="1:5" x14ac:dyDescent="0.25">
      <c r="A9619" s="5">
        <f>9611</f>
      </c>
      <c r="B9619" s="5" t="s">
        <v>8862</v>
      </c>
      <c r="C9619" s="5" t="s">
        <v>11</v>
      </c>
      <c r="D9619" s="5" t="s">
        <v>12</v>
      </c>
      <c r="E9619" s="5" t="s">
        <v>3962</v>
      </c>
    </row>
    <row r="9620" spans="1:5" x14ac:dyDescent="0.25">
      <c r="A9620" s="5">
        <f>9612</f>
      </c>
      <c r="B9620" s="5" t="s">
        <v>8863</v>
      </c>
      <c r="C9620" s="5" t="s">
        <v>11</v>
      </c>
      <c r="D9620" s="5" t="s">
        <v>12</v>
      </c>
      <c r="E9620" s="5" t="s">
        <v>3962</v>
      </c>
    </row>
    <row r="9621" spans="1:5" x14ac:dyDescent="0.25">
      <c r="A9621" s="5">
        <f>9613</f>
      </c>
      <c r="B9621" s="5" t="s">
        <v>8864</v>
      </c>
      <c r="C9621" s="5" t="s">
        <v>11</v>
      </c>
      <c r="D9621" s="5" t="s">
        <v>12</v>
      </c>
      <c r="E9621" s="5" t="s">
        <v>3962</v>
      </c>
    </row>
    <row r="9622" spans="1:5" x14ac:dyDescent="0.25">
      <c r="A9622" s="5">
        <f>9614</f>
      </c>
      <c r="B9622" s="5" t="s">
        <v>8865</v>
      </c>
      <c r="C9622" s="5" t="s">
        <v>11</v>
      </c>
      <c r="D9622" s="5" t="s">
        <v>12</v>
      </c>
      <c r="E9622" s="5" t="s">
        <v>3962</v>
      </c>
    </row>
    <row r="9623" spans="1:5" x14ac:dyDescent="0.25">
      <c r="A9623" s="5">
        <f>9615</f>
      </c>
      <c r="B9623" s="5" t="s">
        <v>8866</v>
      </c>
      <c r="C9623" s="5" t="s">
        <v>11</v>
      </c>
      <c r="D9623" s="5" t="s">
        <v>12</v>
      </c>
      <c r="E9623" s="5" t="s">
        <v>3962</v>
      </c>
    </row>
    <row r="9624" spans="1:5" x14ac:dyDescent="0.25">
      <c r="A9624" s="5">
        <f>9616</f>
      </c>
      <c r="B9624" s="5" t="s">
        <v>8867</v>
      </c>
      <c r="C9624" s="5" t="s">
        <v>11</v>
      </c>
      <c r="D9624" s="5" t="s">
        <v>12</v>
      </c>
      <c r="E9624" s="5" t="s">
        <v>3962</v>
      </c>
    </row>
    <row r="9625" spans="1:5" x14ac:dyDescent="0.25">
      <c r="A9625" s="5">
        <f>9617</f>
      </c>
      <c r="B9625" s="5" t="s">
        <v>8868</v>
      </c>
      <c r="C9625" s="5" t="s">
        <v>11</v>
      </c>
      <c r="D9625" s="5" t="s">
        <v>12</v>
      </c>
      <c r="E9625" s="5" t="s">
        <v>3962</v>
      </c>
    </row>
    <row r="9626" spans="1:5" x14ac:dyDescent="0.25">
      <c r="A9626" s="5">
        <f>9618</f>
      </c>
      <c r="B9626" s="5" t="s">
        <v>8869</v>
      </c>
      <c r="C9626" s="5" t="s">
        <v>11</v>
      </c>
      <c r="D9626" s="5" t="s">
        <v>12</v>
      </c>
      <c r="E9626" s="5" t="s">
        <v>3962</v>
      </c>
    </row>
    <row r="9627" spans="1:5" x14ac:dyDescent="0.25">
      <c r="A9627" s="5">
        <f>9619</f>
      </c>
      <c r="B9627" s="5" t="s">
        <v>8870</v>
      </c>
      <c r="C9627" s="5" t="s">
        <v>11</v>
      </c>
      <c r="D9627" s="5" t="s">
        <v>12</v>
      </c>
      <c r="E9627" s="5" t="s">
        <v>3962</v>
      </c>
    </row>
    <row r="9628" spans="1:5" x14ac:dyDescent="0.25">
      <c r="A9628" s="5">
        <f>9620</f>
      </c>
      <c r="B9628" s="5" t="s">
        <v>8871</v>
      </c>
      <c r="C9628" s="5" t="s">
        <v>11</v>
      </c>
      <c r="D9628" s="5" t="s">
        <v>12</v>
      </c>
      <c r="E9628" s="5" t="s">
        <v>3962</v>
      </c>
    </row>
    <row r="9629" spans="1:5" x14ac:dyDescent="0.25">
      <c r="A9629" s="5">
        <f>9621</f>
      </c>
      <c r="B9629" s="5" t="s">
        <v>8872</v>
      </c>
      <c r="C9629" s="5" t="s">
        <v>11</v>
      </c>
      <c r="D9629" s="5" t="s">
        <v>12</v>
      </c>
      <c r="E9629" s="5" t="s">
        <v>3962</v>
      </c>
    </row>
    <row r="9630" spans="1:5" x14ac:dyDescent="0.25">
      <c r="A9630" s="5">
        <f>9622</f>
      </c>
      <c r="B9630" s="5" t="s">
        <v>8873</v>
      </c>
      <c r="C9630" s="5" t="s">
        <v>11</v>
      </c>
      <c r="D9630" s="5" t="s">
        <v>12</v>
      </c>
      <c r="E9630" s="5" t="s">
        <v>3962</v>
      </c>
    </row>
    <row r="9631" spans="1:5" x14ac:dyDescent="0.25">
      <c r="A9631" s="5">
        <f>9623</f>
      </c>
      <c r="B9631" s="5" t="s">
        <v>8874</v>
      </c>
      <c r="C9631" s="5" t="s">
        <v>11</v>
      </c>
      <c r="D9631" s="5" t="s">
        <v>12</v>
      </c>
      <c r="E9631" s="5" t="s">
        <v>3962</v>
      </c>
    </row>
    <row r="9632" spans="1:5" x14ac:dyDescent="0.25">
      <c r="A9632" s="5">
        <f>9624</f>
      </c>
      <c r="B9632" s="5" t="s">
        <v>8875</v>
      </c>
      <c r="C9632" s="5" t="s">
        <v>11</v>
      </c>
      <c r="D9632" s="5" t="s">
        <v>12</v>
      </c>
      <c r="E9632" s="5" t="s">
        <v>3962</v>
      </c>
    </row>
    <row r="9633" spans="1:5" x14ac:dyDescent="0.25">
      <c r="A9633" s="5">
        <f>9625</f>
      </c>
      <c r="B9633" s="5" t="s">
        <v>8876</v>
      </c>
      <c r="C9633" s="5" t="s">
        <v>11</v>
      </c>
      <c r="D9633" s="5" t="s">
        <v>12</v>
      </c>
      <c r="E9633" s="5" t="s">
        <v>3962</v>
      </c>
    </row>
    <row r="9634" spans="1:5" x14ac:dyDescent="0.25">
      <c r="A9634" s="5">
        <f>9626</f>
      </c>
      <c r="B9634" s="5" t="s">
        <v>8877</v>
      </c>
      <c r="C9634" s="5" t="s">
        <v>11</v>
      </c>
      <c r="D9634" s="5" t="s">
        <v>12</v>
      </c>
      <c r="E9634" s="5" t="s">
        <v>3962</v>
      </c>
    </row>
    <row r="9635" spans="1:5" x14ac:dyDescent="0.25">
      <c r="A9635" s="5">
        <f>9627</f>
      </c>
      <c r="B9635" s="5" t="s">
        <v>8878</v>
      </c>
      <c r="C9635" s="5" t="s">
        <v>11</v>
      </c>
      <c r="D9635" s="5" t="s">
        <v>12</v>
      </c>
      <c r="E9635" s="5" t="s">
        <v>3962</v>
      </c>
    </row>
    <row r="9636" spans="1:5" x14ac:dyDescent="0.25">
      <c r="A9636" s="5">
        <f>9628</f>
      </c>
      <c r="B9636" s="5" t="s">
        <v>8879</v>
      </c>
      <c r="C9636" s="5" t="s">
        <v>11</v>
      </c>
      <c r="D9636" s="5" t="s">
        <v>12</v>
      </c>
      <c r="E9636" s="5" t="s">
        <v>3962</v>
      </c>
    </row>
    <row r="9637" spans="1:5" x14ac:dyDescent="0.25">
      <c r="A9637" s="5">
        <f>9629</f>
      </c>
      <c r="B9637" s="5" t="s">
        <v>8880</v>
      </c>
      <c r="C9637" s="5" t="s">
        <v>11</v>
      </c>
      <c r="D9637" s="5" t="s">
        <v>12</v>
      </c>
      <c r="E9637" s="5" t="s">
        <v>3962</v>
      </c>
    </row>
    <row r="9638" spans="1:5" x14ac:dyDescent="0.25">
      <c r="A9638" s="5">
        <f>9630</f>
      </c>
      <c r="B9638" s="5" t="s">
        <v>8881</v>
      </c>
      <c r="C9638" s="5" t="s">
        <v>11</v>
      </c>
      <c r="D9638" s="5" t="s">
        <v>12</v>
      </c>
      <c r="E9638" s="5" t="s">
        <v>3962</v>
      </c>
    </row>
    <row r="9639" spans="1:5" x14ac:dyDescent="0.25">
      <c r="A9639" s="5">
        <f>9631</f>
      </c>
      <c r="B9639" s="5" t="s">
        <v>8882</v>
      </c>
      <c r="C9639" s="5" t="s">
        <v>11</v>
      </c>
      <c r="D9639" s="5" t="s">
        <v>12</v>
      </c>
      <c r="E9639" s="5" t="s">
        <v>3962</v>
      </c>
    </row>
    <row r="9640" spans="1:5" x14ac:dyDescent="0.25">
      <c r="A9640" s="5">
        <f>9632</f>
      </c>
      <c r="B9640" s="5" t="s">
        <v>8883</v>
      </c>
      <c r="C9640" s="5" t="s">
        <v>11</v>
      </c>
      <c r="D9640" s="5" t="s">
        <v>12</v>
      </c>
      <c r="E9640" s="5" t="s">
        <v>3962</v>
      </c>
    </row>
    <row r="9641" spans="1:5" x14ac:dyDescent="0.25">
      <c r="A9641" s="5">
        <f>9633</f>
      </c>
      <c r="B9641" s="5" t="s">
        <v>8884</v>
      </c>
      <c r="C9641" s="5" t="s">
        <v>11</v>
      </c>
      <c r="D9641" s="5" t="s">
        <v>12</v>
      </c>
      <c r="E9641" s="5" t="s">
        <v>3962</v>
      </c>
    </row>
    <row r="9642" spans="1:5" x14ac:dyDescent="0.25">
      <c r="A9642" s="5">
        <f>9634</f>
      </c>
      <c r="B9642" s="5" t="s">
        <v>8885</v>
      </c>
      <c r="C9642" s="5" t="s">
        <v>11</v>
      </c>
      <c r="D9642" s="5" t="s">
        <v>12</v>
      </c>
      <c r="E9642" s="5" t="s">
        <v>3962</v>
      </c>
    </row>
    <row r="9643" spans="1:5" x14ac:dyDescent="0.25">
      <c r="A9643" s="5">
        <f>9635</f>
      </c>
      <c r="B9643" s="5" t="s">
        <v>8886</v>
      </c>
      <c r="C9643" s="5" t="s">
        <v>11</v>
      </c>
      <c r="D9643" s="5" t="s">
        <v>12</v>
      </c>
      <c r="E9643" s="5" t="s">
        <v>3962</v>
      </c>
    </row>
    <row r="9644" spans="1:5" x14ac:dyDescent="0.25">
      <c r="A9644" s="5">
        <f>9636</f>
      </c>
      <c r="B9644" s="5" t="s">
        <v>8887</v>
      </c>
      <c r="C9644" s="5" t="s">
        <v>11</v>
      </c>
      <c r="D9644" s="5" t="s">
        <v>12</v>
      </c>
      <c r="E9644" s="5" t="s">
        <v>3962</v>
      </c>
    </row>
    <row r="9645" spans="1:5" x14ac:dyDescent="0.25">
      <c r="A9645" s="5">
        <f>9637</f>
      </c>
      <c r="B9645" s="5" t="s">
        <v>8888</v>
      </c>
      <c r="C9645" s="5" t="s">
        <v>11</v>
      </c>
      <c r="D9645" s="5" t="s">
        <v>12</v>
      </c>
      <c r="E9645" s="5" t="s">
        <v>3962</v>
      </c>
    </row>
    <row r="9646" spans="1:5" x14ac:dyDescent="0.25">
      <c r="A9646" s="5">
        <f>9638</f>
      </c>
      <c r="B9646" s="5" t="s">
        <v>8889</v>
      </c>
      <c r="C9646" s="5" t="s">
        <v>11</v>
      </c>
      <c r="D9646" s="5" t="s">
        <v>12</v>
      </c>
      <c r="E9646" s="5" t="s">
        <v>3962</v>
      </c>
    </row>
    <row r="9647" spans="1:5" x14ac:dyDescent="0.25">
      <c r="A9647" s="5">
        <f>9639</f>
      </c>
      <c r="B9647" s="5" t="s">
        <v>8890</v>
      </c>
      <c r="C9647" s="5" t="s">
        <v>11</v>
      </c>
      <c r="D9647" s="5" t="s">
        <v>12</v>
      </c>
      <c r="E9647" s="5" t="s">
        <v>3962</v>
      </c>
    </row>
    <row r="9648" spans="1:5" x14ac:dyDescent="0.25">
      <c r="A9648" s="5">
        <f>9640</f>
      </c>
      <c r="B9648" s="5" t="s">
        <v>8891</v>
      </c>
      <c r="C9648" s="5" t="s">
        <v>11</v>
      </c>
      <c r="D9648" s="5" t="s">
        <v>12</v>
      </c>
      <c r="E9648" s="5" t="s">
        <v>3962</v>
      </c>
    </row>
    <row r="9649" spans="1:5" x14ac:dyDescent="0.25">
      <c r="A9649" s="5">
        <f>9641</f>
      </c>
      <c r="B9649" s="5" t="s">
        <v>8892</v>
      </c>
      <c r="C9649" s="5" t="s">
        <v>11</v>
      </c>
      <c r="D9649" s="5" t="s">
        <v>12</v>
      </c>
      <c r="E9649" s="5" t="s">
        <v>3962</v>
      </c>
    </row>
    <row r="9650" spans="1:5" x14ac:dyDescent="0.25">
      <c r="A9650" s="5">
        <f>9642</f>
      </c>
      <c r="B9650" s="5" t="s">
        <v>8893</v>
      </c>
      <c r="C9650" s="5" t="s">
        <v>11</v>
      </c>
      <c r="D9650" s="5" t="s">
        <v>12</v>
      </c>
      <c r="E9650" s="5" t="s">
        <v>3962</v>
      </c>
    </row>
    <row r="9651" spans="1:5" x14ac:dyDescent="0.25">
      <c r="A9651" s="5">
        <f>9643</f>
      </c>
      <c r="B9651" s="5" t="s">
        <v>8894</v>
      </c>
      <c r="C9651" s="5" t="s">
        <v>11</v>
      </c>
      <c r="D9651" s="5" t="s">
        <v>12</v>
      </c>
      <c r="E9651" s="5" t="s">
        <v>3962</v>
      </c>
    </row>
    <row r="9652" spans="1:5" x14ac:dyDescent="0.25">
      <c r="A9652" s="5">
        <f>9644</f>
      </c>
      <c r="B9652" s="5" t="s">
        <v>8895</v>
      </c>
      <c r="C9652" s="5" t="s">
        <v>11</v>
      </c>
      <c r="D9652" s="5" t="s">
        <v>12</v>
      </c>
      <c r="E9652" s="5" t="s">
        <v>3962</v>
      </c>
    </row>
    <row r="9653" spans="1:5" x14ac:dyDescent="0.25">
      <c r="A9653" s="5">
        <f>9645</f>
      </c>
      <c r="B9653" s="5" t="s">
        <v>8896</v>
      </c>
      <c r="C9653" s="5" t="s">
        <v>11</v>
      </c>
      <c r="D9653" s="5" t="s">
        <v>12</v>
      </c>
      <c r="E9653" s="5" t="s">
        <v>3962</v>
      </c>
    </row>
    <row r="9654" spans="1:5" x14ac:dyDescent="0.25">
      <c r="A9654" s="5">
        <f>9646</f>
      </c>
      <c r="B9654" s="5" t="s">
        <v>8897</v>
      </c>
      <c r="C9654" s="5" t="s">
        <v>11</v>
      </c>
      <c r="D9654" s="5" t="s">
        <v>12</v>
      </c>
      <c r="E9654" s="5" t="s">
        <v>3962</v>
      </c>
    </row>
    <row r="9655" spans="1:5" x14ac:dyDescent="0.25">
      <c r="A9655" s="5">
        <f>9647</f>
      </c>
      <c r="B9655" s="5" t="s">
        <v>8898</v>
      </c>
      <c r="C9655" s="5" t="s">
        <v>11</v>
      </c>
      <c r="D9655" s="5" t="s">
        <v>12</v>
      </c>
      <c r="E9655" s="5" t="s">
        <v>3962</v>
      </c>
    </row>
    <row r="9656" spans="1:5" x14ac:dyDescent="0.25">
      <c r="A9656" s="5">
        <f>9648</f>
      </c>
      <c r="B9656" s="5" t="s">
        <v>8899</v>
      </c>
      <c r="C9656" s="5" t="s">
        <v>11</v>
      </c>
      <c r="D9656" s="5" t="s">
        <v>12</v>
      </c>
      <c r="E9656" s="5" t="s">
        <v>3962</v>
      </c>
    </row>
    <row r="9657" spans="1:5" x14ac:dyDescent="0.25">
      <c r="A9657" s="5">
        <f>9649</f>
      </c>
      <c r="B9657" s="5" t="s">
        <v>8900</v>
      </c>
      <c r="C9657" s="5" t="s">
        <v>11</v>
      </c>
      <c r="D9657" s="5" t="s">
        <v>12</v>
      </c>
      <c r="E9657" s="5" t="s">
        <v>3962</v>
      </c>
    </row>
    <row r="9658" spans="1:5" x14ac:dyDescent="0.25">
      <c r="A9658" s="5">
        <f>9650</f>
      </c>
      <c r="B9658" s="5" t="s">
        <v>8901</v>
      </c>
      <c r="C9658" s="5" t="s">
        <v>11</v>
      </c>
      <c r="D9658" s="5" t="s">
        <v>12</v>
      </c>
      <c r="E9658" s="5" t="s">
        <v>3962</v>
      </c>
    </row>
    <row r="9659" spans="1:5" x14ac:dyDescent="0.25">
      <c r="A9659" s="5">
        <f>9651</f>
      </c>
      <c r="B9659" s="5" t="s">
        <v>8902</v>
      </c>
      <c r="C9659" s="5" t="s">
        <v>11</v>
      </c>
      <c r="D9659" s="5" t="s">
        <v>12</v>
      </c>
      <c r="E9659" s="5" t="s">
        <v>3962</v>
      </c>
    </row>
    <row r="9660" spans="1:5" x14ac:dyDescent="0.25">
      <c r="A9660" s="5">
        <f>9652</f>
      </c>
      <c r="B9660" s="5" t="s">
        <v>8903</v>
      </c>
      <c r="C9660" s="5" t="s">
        <v>11</v>
      </c>
      <c r="D9660" s="5" t="s">
        <v>12</v>
      </c>
      <c r="E9660" s="5" t="s">
        <v>3962</v>
      </c>
    </row>
    <row r="9661" spans="1:5" x14ac:dyDescent="0.25">
      <c r="A9661" s="5">
        <f>9653</f>
      </c>
      <c r="B9661" s="5" t="s">
        <v>8904</v>
      </c>
      <c r="C9661" s="5" t="s">
        <v>11</v>
      </c>
      <c r="D9661" s="5" t="s">
        <v>12</v>
      </c>
      <c r="E9661" s="5" t="s">
        <v>3962</v>
      </c>
    </row>
    <row r="9662" spans="1:5" x14ac:dyDescent="0.25">
      <c r="A9662" s="5">
        <f>9654</f>
      </c>
      <c r="B9662" s="5" t="s">
        <v>8905</v>
      </c>
      <c r="C9662" s="5" t="s">
        <v>11</v>
      </c>
      <c r="D9662" s="5" t="s">
        <v>12</v>
      </c>
      <c r="E9662" s="5" t="s">
        <v>3962</v>
      </c>
    </row>
    <row r="9663" spans="1:5" x14ac:dyDescent="0.25">
      <c r="A9663" s="5">
        <f>9655</f>
      </c>
      <c r="B9663" s="5" t="s">
        <v>8906</v>
      </c>
      <c r="C9663" s="5" t="s">
        <v>11</v>
      </c>
      <c r="D9663" s="5" t="s">
        <v>12</v>
      </c>
      <c r="E9663" s="5" t="s">
        <v>3962</v>
      </c>
    </row>
    <row r="9664" spans="1:5" x14ac:dyDescent="0.25">
      <c r="A9664" s="5">
        <f>9656</f>
      </c>
      <c r="B9664" s="5" t="s">
        <v>8907</v>
      </c>
      <c r="C9664" s="5" t="s">
        <v>11</v>
      </c>
      <c r="D9664" s="5" t="s">
        <v>12</v>
      </c>
      <c r="E9664" s="5" t="s">
        <v>3962</v>
      </c>
    </row>
    <row r="9665" spans="1:5" x14ac:dyDescent="0.25">
      <c r="A9665" s="5">
        <f>9657</f>
      </c>
      <c r="B9665" s="5" t="s">
        <v>8908</v>
      </c>
      <c r="C9665" s="5" t="s">
        <v>11</v>
      </c>
      <c r="D9665" s="5" t="s">
        <v>12</v>
      </c>
      <c r="E9665" s="5" t="s">
        <v>3962</v>
      </c>
    </row>
    <row r="9666" spans="1:5" x14ac:dyDescent="0.25">
      <c r="A9666" s="5">
        <f>9658</f>
      </c>
      <c r="B9666" s="5" t="s">
        <v>8909</v>
      </c>
      <c r="C9666" s="5" t="s">
        <v>11</v>
      </c>
      <c r="D9666" s="5" t="s">
        <v>12</v>
      </c>
      <c r="E9666" s="5" t="s">
        <v>3962</v>
      </c>
    </row>
    <row r="9667" spans="1:5" x14ac:dyDescent="0.25">
      <c r="A9667" s="5">
        <f>9659</f>
      </c>
      <c r="B9667" s="5" t="s">
        <v>8910</v>
      </c>
      <c r="C9667" s="5" t="s">
        <v>11</v>
      </c>
      <c r="D9667" s="5" t="s">
        <v>12</v>
      </c>
      <c r="E9667" s="5" t="s">
        <v>3962</v>
      </c>
    </row>
    <row r="9668" spans="1:5" x14ac:dyDescent="0.25">
      <c r="A9668" s="5">
        <f>9660</f>
      </c>
      <c r="B9668" s="5" t="s">
        <v>8911</v>
      </c>
      <c r="C9668" s="5" t="s">
        <v>11</v>
      </c>
      <c r="D9668" s="5" t="s">
        <v>12</v>
      </c>
      <c r="E9668" s="5" t="s">
        <v>3962</v>
      </c>
    </row>
    <row r="9669" spans="1:5" x14ac:dyDescent="0.25">
      <c r="A9669" s="5">
        <f>9661</f>
      </c>
      <c r="B9669" s="5" t="s">
        <v>8912</v>
      </c>
      <c r="C9669" s="5" t="s">
        <v>11</v>
      </c>
      <c r="D9669" s="5" t="s">
        <v>12</v>
      </c>
      <c r="E9669" s="5" t="s">
        <v>3962</v>
      </c>
    </row>
    <row r="9670" spans="1:5" x14ac:dyDescent="0.25">
      <c r="A9670" s="5">
        <f>9662</f>
      </c>
      <c r="B9670" s="5" t="s">
        <v>8913</v>
      </c>
      <c r="C9670" s="5" t="s">
        <v>11</v>
      </c>
      <c r="D9670" s="5" t="s">
        <v>12</v>
      </c>
      <c r="E9670" s="5" t="s">
        <v>3962</v>
      </c>
    </row>
    <row r="9671" spans="1:5" x14ac:dyDescent="0.25">
      <c r="A9671" s="5">
        <f>9663</f>
      </c>
      <c r="B9671" s="5" t="s">
        <v>8914</v>
      </c>
      <c r="C9671" s="5" t="s">
        <v>11</v>
      </c>
      <c r="D9671" s="5" t="s">
        <v>12</v>
      </c>
      <c r="E9671" s="5" t="s">
        <v>3962</v>
      </c>
    </row>
    <row r="9672" spans="1:5" x14ac:dyDescent="0.25">
      <c r="A9672" s="5">
        <f>9664</f>
      </c>
      <c r="B9672" s="5" t="s">
        <v>8915</v>
      </c>
      <c r="C9672" s="5" t="s">
        <v>11</v>
      </c>
      <c r="D9672" s="5" t="s">
        <v>12</v>
      </c>
      <c r="E9672" s="5" t="s">
        <v>3962</v>
      </c>
    </row>
    <row r="9673" spans="1:5" x14ac:dyDescent="0.25">
      <c r="A9673" s="5">
        <f>9665</f>
      </c>
      <c r="B9673" s="5" t="s">
        <v>8916</v>
      </c>
      <c r="C9673" s="5" t="s">
        <v>11</v>
      </c>
      <c r="D9673" s="5" t="s">
        <v>12</v>
      </c>
      <c r="E9673" s="5" t="s">
        <v>3962</v>
      </c>
    </row>
    <row r="9674" spans="1:5" x14ac:dyDescent="0.25">
      <c r="A9674" s="5">
        <f>9666</f>
      </c>
      <c r="B9674" s="5" t="s">
        <v>8917</v>
      </c>
      <c r="C9674" s="5" t="s">
        <v>11</v>
      </c>
      <c r="D9674" s="5" t="s">
        <v>12</v>
      </c>
      <c r="E9674" s="5" t="s">
        <v>3962</v>
      </c>
    </row>
    <row r="9675" spans="1:5" x14ac:dyDescent="0.25">
      <c r="A9675" s="5">
        <f>9667</f>
      </c>
      <c r="B9675" s="5" t="s">
        <v>8918</v>
      </c>
      <c r="C9675" s="5" t="s">
        <v>11</v>
      </c>
      <c r="D9675" s="5" t="s">
        <v>12</v>
      </c>
      <c r="E9675" s="5" t="s">
        <v>3962</v>
      </c>
    </row>
    <row r="9676" spans="1:5" x14ac:dyDescent="0.25">
      <c r="A9676" s="5">
        <f>9668</f>
      </c>
      <c r="B9676" s="5" t="s">
        <v>8919</v>
      </c>
      <c r="C9676" s="5" t="s">
        <v>11</v>
      </c>
      <c r="D9676" s="5" t="s">
        <v>12</v>
      </c>
      <c r="E9676" s="5" t="s">
        <v>3962</v>
      </c>
    </row>
    <row r="9677" spans="1:5" x14ac:dyDescent="0.25">
      <c r="A9677" s="5">
        <f>9669</f>
      </c>
      <c r="B9677" s="5" t="s">
        <v>8920</v>
      </c>
      <c r="C9677" s="5" t="s">
        <v>11</v>
      </c>
      <c r="D9677" s="5" t="s">
        <v>12</v>
      </c>
      <c r="E9677" s="5" t="s">
        <v>3962</v>
      </c>
    </row>
    <row r="9678" spans="1:5" x14ac:dyDescent="0.25">
      <c r="A9678" s="5">
        <f>9670</f>
      </c>
      <c r="B9678" s="5" t="s">
        <v>8921</v>
      </c>
      <c r="C9678" s="5" t="s">
        <v>11</v>
      </c>
      <c r="D9678" s="5" t="s">
        <v>12</v>
      </c>
      <c r="E9678" s="5" t="s">
        <v>3962</v>
      </c>
    </row>
    <row r="9679" spans="1:5" x14ac:dyDescent="0.25">
      <c r="A9679" s="5">
        <f>9671</f>
      </c>
      <c r="B9679" s="5" t="s">
        <v>8922</v>
      </c>
      <c r="C9679" s="5" t="s">
        <v>11</v>
      </c>
      <c r="D9679" s="5" t="s">
        <v>12</v>
      </c>
      <c r="E9679" s="5" t="s">
        <v>3962</v>
      </c>
    </row>
    <row r="9680" spans="1:5" x14ac:dyDescent="0.25">
      <c r="A9680" s="5">
        <f>9672</f>
      </c>
      <c r="B9680" s="5" t="s">
        <v>8923</v>
      </c>
      <c r="C9680" s="5" t="s">
        <v>11</v>
      </c>
      <c r="D9680" s="5" t="s">
        <v>12</v>
      </c>
      <c r="E9680" s="5" t="s">
        <v>3962</v>
      </c>
    </row>
    <row r="9681" spans="1:5" x14ac:dyDescent="0.25">
      <c r="A9681" s="5">
        <f>9673</f>
      </c>
      <c r="B9681" s="5" t="s">
        <v>8924</v>
      </c>
      <c r="C9681" s="5" t="s">
        <v>11</v>
      </c>
      <c r="D9681" s="5" t="s">
        <v>12</v>
      </c>
      <c r="E9681" s="5" t="s">
        <v>3962</v>
      </c>
    </row>
    <row r="9682" spans="1:5" x14ac:dyDescent="0.25">
      <c r="A9682" s="5">
        <f>9674</f>
      </c>
      <c r="B9682" s="5" t="s">
        <v>8925</v>
      </c>
      <c r="C9682" s="5" t="s">
        <v>11</v>
      </c>
      <c r="D9682" s="5" t="s">
        <v>12</v>
      </c>
      <c r="E9682" s="5" t="s">
        <v>3962</v>
      </c>
    </row>
    <row r="9683" spans="1:5" x14ac:dyDescent="0.25">
      <c r="A9683" s="5">
        <f>9675</f>
      </c>
      <c r="B9683" s="5" t="s">
        <v>8926</v>
      </c>
      <c r="C9683" s="5" t="s">
        <v>11</v>
      </c>
      <c r="D9683" s="5" t="s">
        <v>12</v>
      </c>
      <c r="E9683" s="5" t="s">
        <v>3962</v>
      </c>
    </row>
    <row r="9684" spans="1:5" x14ac:dyDescent="0.25">
      <c r="A9684" s="5">
        <f>9676</f>
      </c>
      <c r="B9684" s="5" t="s">
        <v>8927</v>
      </c>
      <c r="C9684" s="5" t="s">
        <v>11</v>
      </c>
      <c r="D9684" s="5" t="s">
        <v>12</v>
      </c>
      <c r="E9684" s="5" t="s">
        <v>3962</v>
      </c>
    </row>
    <row r="9685" spans="1:5" x14ac:dyDescent="0.25">
      <c r="A9685" s="5">
        <f>9677</f>
      </c>
      <c r="B9685" s="5" t="s">
        <v>8928</v>
      </c>
      <c r="C9685" s="5" t="s">
        <v>11</v>
      </c>
      <c r="D9685" s="5" t="s">
        <v>12</v>
      </c>
      <c r="E9685" s="5" t="s">
        <v>3962</v>
      </c>
    </row>
    <row r="9686" spans="1:5" x14ac:dyDescent="0.25">
      <c r="A9686" s="5">
        <f>9678</f>
      </c>
      <c r="B9686" s="5" t="s">
        <v>8929</v>
      </c>
      <c r="C9686" s="5" t="s">
        <v>11</v>
      </c>
      <c r="D9686" s="5" t="s">
        <v>12</v>
      </c>
      <c r="E9686" s="5" t="s">
        <v>3962</v>
      </c>
    </row>
    <row r="9687" spans="1:5" x14ac:dyDescent="0.25">
      <c r="A9687" s="5">
        <f>9679</f>
      </c>
      <c r="B9687" s="5" t="s">
        <v>8930</v>
      </c>
      <c r="C9687" s="5" t="s">
        <v>11</v>
      </c>
      <c r="D9687" s="5" t="s">
        <v>12</v>
      </c>
      <c r="E9687" s="5" t="s">
        <v>3962</v>
      </c>
    </row>
    <row r="9688" spans="1:5" x14ac:dyDescent="0.25">
      <c r="A9688" s="5">
        <f>9680</f>
      </c>
      <c r="B9688" s="5" t="s">
        <v>8931</v>
      </c>
      <c r="C9688" s="5" t="s">
        <v>11</v>
      </c>
      <c r="D9688" s="5" t="s">
        <v>12</v>
      </c>
      <c r="E9688" s="5" t="s">
        <v>3962</v>
      </c>
    </row>
    <row r="9689" spans="1:5" x14ac:dyDescent="0.25">
      <c r="A9689" s="5">
        <f>9681</f>
      </c>
      <c r="B9689" s="5" t="s">
        <v>8932</v>
      </c>
      <c r="C9689" s="5" t="s">
        <v>11</v>
      </c>
      <c r="D9689" s="5" t="s">
        <v>12</v>
      </c>
      <c r="E9689" s="5" t="s">
        <v>3962</v>
      </c>
    </row>
    <row r="9690" spans="1:5" x14ac:dyDescent="0.25">
      <c r="A9690" s="5">
        <f>9682</f>
      </c>
      <c r="B9690" s="5" t="s">
        <v>8933</v>
      </c>
      <c r="C9690" s="5" t="s">
        <v>11</v>
      </c>
      <c r="D9690" s="5" t="s">
        <v>12</v>
      </c>
      <c r="E9690" s="5" t="s">
        <v>3962</v>
      </c>
    </row>
    <row r="9691" spans="1:5" x14ac:dyDescent="0.25">
      <c r="A9691" s="5">
        <f>9683</f>
      </c>
      <c r="B9691" s="5" t="s">
        <v>8934</v>
      </c>
      <c r="C9691" s="5" t="s">
        <v>11</v>
      </c>
      <c r="D9691" s="5" t="s">
        <v>12</v>
      </c>
      <c r="E9691" s="5" t="s">
        <v>3962</v>
      </c>
    </row>
    <row r="9692" spans="1:5" x14ac:dyDescent="0.25">
      <c r="A9692" s="5">
        <f>9684</f>
      </c>
      <c r="B9692" s="5" t="s">
        <v>8935</v>
      </c>
      <c r="C9692" s="5" t="s">
        <v>11</v>
      </c>
      <c r="D9692" s="5" t="s">
        <v>12</v>
      </c>
      <c r="E9692" s="5" t="s">
        <v>3962</v>
      </c>
    </row>
    <row r="9693" spans="1:5" x14ac:dyDescent="0.25">
      <c r="A9693" s="5">
        <f>9685</f>
      </c>
      <c r="B9693" s="5" t="s">
        <v>8936</v>
      </c>
      <c r="C9693" s="5" t="s">
        <v>11</v>
      </c>
      <c r="D9693" s="5" t="s">
        <v>12</v>
      </c>
      <c r="E9693" s="5" t="s">
        <v>3962</v>
      </c>
    </row>
    <row r="9694" spans="1:5" x14ac:dyDescent="0.25">
      <c r="A9694" s="5">
        <f>9686</f>
      </c>
      <c r="B9694" s="5" t="s">
        <v>8937</v>
      </c>
      <c r="C9694" s="5" t="s">
        <v>11</v>
      </c>
      <c r="D9694" s="5" t="s">
        <v>12</v>
      </c>
      <c r="E9694" s="5" t="s">
        <v>3962</v>
      </c>
    </row>
    <row r="9695" spans="1:5" x14ac:dyDescent="0.25">
      <c r="A9695" s="5">
        <f>9687</f>
      </c>
      <c r="B9695" s="5" t="s">
        <v>8938</v>
      </c>
      <c r="C9695" s="5" t="s">
        <v>11</v>
      </c>
      <c r="D9695" s="5" t="s">
        <v>12</v>
      </c>
      <c r="E9695" s="5" t="s">
        <v>3962</v>
      </c>
    </row>
    <row r="9696" spans="1:5" x14ac:dyDescent="0.25">
      <c r="A9696" s="5">
        <f>9688</f>
      </c>
      <c r="B9696" s="5" t="s">
        <v>8939</v>
      </c>
      <c r="C9696" s="5" t="s">
        <v>11</v>
      </c>
      <c r="D9696" s="5" t="s">
        <v>12</v>
      </c>
      <c r="E9696" s="5" t="s">
        <v>3962</v>
      </c>
    </row>
    <row r="9697" spans="1:5" x14ac:dyDescent="0.25">
      <c r="A9697" s="5">
        <f>9689</f>
      </c>
      <c r="B9697" s="5" t="s">
        <v>8940</v>
      </c>
      <c r="C9697" s="5" t="s">
        <v>11</v>
      </c>
      <c r="D9697" s="5" t="s">
        <v>12</v>
      </c>
      <c r="E9697" s="5" t="s">
        <v>3962</v>
      </c>
    </row>
    <row r="9698" spans="1:5" x14ac:dyDescent="0.25">
      <c r="A9698" s="5">
        <f>9690</f>
      </c>
      <c r="B9698" s="5" t="s">
        <v>8941</v>
      </c>
      <c r="C9698" s="5" t="s">
        <v>11</v>
      </c>
      <c r="D9698" s="5" t="s">
        <v>12</v>
      </c>
      <c r="E9698" s="5" t="s">
        <v>3962</v>
      </c>
    </row>
    <row r="9699" spans="1:5" x14ac:dyDescent="0.25">
      <c r="A9699" s="5">
        <f>9691</f>
      </c>
      <c r="B9699" s="5" t="s">
        <v>8942</v>
      </c>
      <c r="C9699" s="5" t="s">
        <v>11</v>
      </c>
      <c r="D9699" s="5" t="s">
        <v>12</v>
      </c>
      <c r="E9699" s="5" t="s">
        <v>3962</v>
      </c>
    </row>
    <row r="9700" spans="1:5" x14ac:dyDescent="0.25">
      <c r="A9700" s="5">
        <f>9692</f>
      </c>
      <c r="B9700" s="5" t="s">
        <v>8943</v>
      </c>
      <c r="C9700" s="5" t="s">
        <v>11</v>
      </c>
      <c r="D9700" s="5" t="s">
        <v>12</v>
      </c>
      <c r="E9700" s="5" t="s">
        <v>3962</v>
      </c>
    </row>
    <row r="9701" spans="1:5" x14ac:dyDescent="0.25">
      <c r="A9701" s="5">
        <f>9693</f>
      </c>
      <c r="B9701" s="5" t="s">
        <v>8944</v>
      </c>
      <c r="C9701" s="5" t="s">
        <v>11</v>
      </c>
      <c r="D9701" s="5" t="s">
        <v>12</v>
      </c>
      <c r="E9701" s="5" t="s">
        <v>3962</v>
      </c>
    </row>
    <row r="9702" spans="1:5" x14ac:dyDescent="0.25">
      <c r="A9702" s="5">
        <f>9694</f>
      </c>
      <c r="B9702" s="5" t="s">
        <v>8945</v>
      </c>
      <c r="C9702" s="5" t="s">
        <v>11</v>
      </c>
      <c r="D9702" s="5" t="s">
        <v>12</v>
      </c>
      <c r="E9702" s="5" t="s">
        <v>3962</v>
      </c>
    </row>
    <row r="9703" spans="1:5" x14ac:dyDescent="0.25">
      <c r="A9703" s="5">
        <f>9695</f>
      </c>
      <c r="B9703" s="5" t="s">
        <v>8946</v>
      </c>
      <c r="C9703" s="5" t="s">
        <v>11</v>
      </c>
      <c r="D9703" s="5" t="s">
        <v>12</v>
      </c>
      <c r="E9703" s="5" t="s">
        <v>3962</v>
      </c>
    </row>
    <row r="9704" spans="1:5" x14ac:dyDescent="0.25">
      <c r="A9704" s="5">
        <f>9696</f>
      </c>
      <c r="B9704" s="5" t="s">
        <v>8947</v>
      </c>
      <c r="C9704" s="5" t="s">
        <v>11</v>
      </c>
      <c r="D9704" s="5" t="s">
        <v>12</v>
      </c>
      <c r="E9704" s="5" t="s">
        <v>3962</v>
      </c>
    </row>
    <row r="9705" spans="1:5" x14ac:dyDescent="0.25">
      <c r="A9705" s="5">
        <f>9697</f>
      </c>
      <c r="B9705" s="5" t="s">
        <v>8948</v>
      </c>
      <c r="C9705" s="5" t="s">
        <v>11</v>
      </c>
      <c r="D9705" s="5" t="s">
        <v>12</v>
      </c>
      <c r="E9705" s="5" t="s">
        <v>3962</v>
      </c>
    </row>
    <row r="9706" spans="1:5" x14ac:dyDescent="0.25">
      <c r="A9706" s="5">
        <f>9698</f>
      </c>
      <c r="B9706" s="5" t="s">
        <v>8949</v>
      </c>
      <c r="C9706" s="5" t="s">
        <v>11</v>
      </c>
      <c r="D9706" s="5" t="s">
        <v>12</v>
      </c>
      <c r="E9706" s="5" t="s">
        <v>3962</v>
      </c>
    </row>
    <row r="9707" spans="1:5" x14ac:dyDescent="0.25">
      <c r="A9707" s="5">
        <f>9699</f>
      </c>
      <c r="B9707" s="5" t="s">
        <v>8950</v>
      </c>
      <c r="C9707" s="5" t="s">
        <v>11</v>
      </c>
      <c r="D9707" s="5" t="s">
        <v>12</v>
      </c>
      <c r="E9707" s="5" t="s">
        <v>3962</v>
      </c>
    </row>
    <row r="9708" spans="1:5" x14ac:dyDescent="0.25">
      <c r="A9708" s="5">
        <f>9700</f>
      </c>
      <c r="B9708" s="5" t="s">
        <v>8951</v>
      </c>
      <c r="C9708" s="5" t="s">
        <v>11</v>
      </c>
      <c r="D9708" s="5" t="s">
        <v>12</v>
      </c>
      <c r="E9708" s="5" t="s">
        <v>3962</v>
      </c>
    </row>
    <row r="9709" spans="1:5" x14ac:dyDescent="0.25">
      <c r="A9709" s="5">
        <f>9701</f>
      </c>
      <c r="B9709" s="5" t="s">
        <v>8952</v>
      </c>
      <c r="C9709" s="5" t="s">
        <v>11</v>
      </c>
      <c r="D9709" s="5" t="s">
        <v>12</v>
      </c>
      <c r="E9709" s="5" t="s">
        <v>3962</v>
      </c>
    </row>
    <row r="9710" spans="1:5" x14ac:dyDescent="0.25">
      <c r="A9710" s="5">
        <f>9702</f>
      </c>
      <c r="B9710" s="5" t="s">
        <v>8953</v>
      </c>
      <c r="C9710" s="5" t="s">
        <v>11</v>
      </c>
      <c r="D9710" s="5" t="s">
        <v>12</v>
      </c>
      <c r="E9710" s="5" t="s">
        <v>3962</v>
      </c>
    </row>
    <row r="9711" spans="1:5" x14ac:dyDescent="0.25">
      <c r="A9711" s="5">
        <f>9703</f>
      </c>
      <c r="B9711" s="5" t="s">
        <v>8954</v>
      </c>
      <c r="C9711" s="5" t="s">
        <v>11</v>
      </c>
      <c r="D9711" s="5" t="s">
        <v>12</v>
      </c>
      <c r="E9711" s="5" t="s">
        <v>3962</v>
      </c>
    </row>
    <row r="9712" spans="1:5" x14ac:dyDescent="0.25">
      <c r="A9712" s="5">
        <f>9704</f>
      </c>
      <c r="B9712" s="5" t="s">
        <v>8955</v>
      </c>
      <c r="C9712" s="5" t="s">
        <v>11</v>
      </c>
      <c r="D9712" s="5" t="s">
        <v>12</v>
      </c>
      <c r="E9712" s="5" t="s">
        <v>3962</v>
      </c>
    </row>
    <row r="9713" spans="1:5" x14ac:dyDescent="0.25">
      <c r="A9713" s="5">
        <f>9705</f>
      </c>
      <c r="B9713" s="5" t="s">
        <v>8956</v>
      </c>
      <c r="C9713" s="5" t="s">
        <v>11</v>
      </c>
      <c r="D9713" s="5" t="s">
        <v>12</v>
      </c>
      <c r="E9713" s="5" t="s">
        <v>3962</v>
      </c>
    </row>
    <row r="9714" spans="1:5" x14ac:dyDescent="0.25">
      <c r="A9714" s="5">
        <f>9706</f>
      </c>
      <c r="B9714" s="5" t="s">
        <v>8957</v>
      </c>
      <c r="C9714" s="5" t="s">
        <v>11</v>
      </c>
      <c r="D9714" s="5" t="s">
        <v>12</v>
      </c>
      <c r="E9714" s="5" t="s">
        <v>3962</v>
      </c>
    </row>
    <row r="9715" spans="1:5" x14ac:dyDescent="0.25">
      <c r="A9715" s="5">
        <f>9707</f>
      </c>
      <c r="B9715" s="5" t="s">
        <v>8958</v>
      </c>
      <c r="C9715" s="5" t="s">
        <v>11</v>
      </c>
      <c r="D9715" s="5" t="s">
        <v>12</v>
      </c>
      <c r="E9715" s="5" t="s">
        <v>3962</v>
      </c>
    </row>
    <row r="9716" spans="1:5" x14ac:dyDescent="0.25">
      <c r="A9716" s="5">
        <f>9708</f>
      </c>
      <c r="B9716" s="5" t="s">
        <v>8959</v>
      </c>
      <c r="C9716" s="5" t="s">
        <v>11</v>
      </c>
      <c r="D9716" s="5" t="s">
        <v>12</v>
      </c>
      <c r="E9716" s="5" t="s">
        <v>3962</v>
      </c>
    </row>
    <row r="9717" spans="1:5" x14ac:dyDescent="0.25">
      <c r="A9717" s="5">
        <f>9709</f>
      </c>
      <c r="B9717" s="5" t="s">
        <v>8960</v>
      </c>
      <c r="C9717" s="5" t="s">
        <v>11</v>
      </c>
      <c r="D9717" s="5" t="s">
        <v>12</v>
      </c>
      <c r="E9717" s="5" t="s">
        <v>3962</v>
      </c>
    </row>
    <row r="9718" spans="1:5" x14ac:dyDescent="0.25">
      <c r="A9718" s="5">
        <f>9710</f>
      </c>
      <c r="B9718" s="5" t="s">
        <v>8961</v>
      </c>
      <c r="C9718" s="5" t="s">
        <v>11</v>
      </c>
      <c r="D9718" s="5" t="s">
        <v>12</v>
      </c>
      <c r="E9718" s="5" t="s">
        <v>3962</v>
      </c>
    </row>
    <row r="9719" spans="1:5" x14ac:dyDescent="0.25">
      <c r="A9719" s="5">
        <f>9711</f>
      </c>
      <c r="B9719" s="5" t="s">
        <v>8962</v>
      </c>
      <c r="C9719" s="5" t="s">
        <v>11</v>
      </c>
      <c r="D9719" s="5" t="s">
        <v>12</v>
      </c>
      <c r="E9719" s="5" t="s">
        <v>3962</v>
      </c>
    </row>
    <row r="9720" spans="1:5" x14ac:dyDescent="0.25">
      <c r="A9720" s="5">
        <f>9712</f>
      </c>
      <c r="B9720" s="5" t="s">
        <v>8963</v>
      </c>
      <c r="C9720" s="5" t="s">
        <v>11</v>
      </c>
      <c r="D9720" s="5" t="s">
        <v>12</v>
      </c>
      <c r="E9720" s="5" t="s">
        <v>3962</v>
      </c>
    </row>
    <row r="9721" spans="1:5" x14ac:dyDescent="0.25">
      <c r="A9721" s="5">
        <f>9713</f>
      </c>
      <c r="B9721" s="5" t="s">
        <v>8964</v>
      </c>
      <c r="C9721" s="5" t="s">
        <v>11</v>
      </c>
      <c r="D9721" s="5" t="s">
        <v>12</v>
      </c>
      <c r="E9721" s="5" t="s">
        <v>3962</v>
      </c>
    </row>
    <row r="9722" spans="1:5" x14ac:dyDescent="0.25">
      <c r="A9722" s="5">
        <f>9714</f>
      </c>
      <c r="B9722" s="5" t="s">
        <v>8965</v>
      </c>
      <c r="C9722" s="5" t="s">
        <v>11</v>
      </c>
      <c r="D9722" s="5" t="s">
        <v>12</v>
      </c>
      <c r="E9722" s="5" t="s">
        <v>3962</v>
      </c>
    </row>
    <row r="9723" spans="1:5" x14ac:dyDescent="0.25">
      <c r="A9723" s="5">
        <f>9715</f>
      </c>
      <c r="B9723" s="5" t="s">
        <v>8966</v>
      </c>
      <c r="C9723" s="5" t="s">
        <v>11</v>
      </c>
      <c r="D9723" s="5" t="s">
        <v>12</v>
      </c>
      <c r="E9723" s="5" t="s">
        <v>3962</v>
      </c>
    </row>
    <row r="9724" spans="1:5" x14ac:dyDescent="0.25">
      <c r="A9724" s="5">
        <f>9716</f>
      </c>
      <c r="B9724" s="5" t="s">
        <v>8967</v>
      </c>
      <c r="C9724" s="5" t="s">
        <v>11</v>
      </c>
      <c r="D9724" s="5" t="s">
        <v>12</v>
      </c>
      <c r="E9724" s="5" t="s">
        <v>3962</v>
      </c>
    </row>
    <row r="9725" spans="1:5" x14ac:dyDescent="0.25">
      <c r="A9725" s="5">
        <f>9717</f>
      </c>
      <c r="B9725" s="5" t="s">
        <v>8968</v>
      </c>
      <c r="C9725" s="5" t="s">
        <v>11</v>
      </c>
      <c r="D9725" s="5" t="s">
        <v>12</v>
      </c>
      <c r="E9725" s="5" t="s">
        <v>3962</v>
      </c>
    </row>
    <row r="9726" spans="1:5" x14ac:dyDescent="0.25">
      <c r="A9726" s="5">
        <f>9718</f>
      </c>
      <c r="B9726" s="5" t="s">
        <v>8969</v>
      </c>
      <c r="C9726" s="5" t="s">
        <v>11</v>
      </c>
      <c r="D9726" s="5" t="s">
        <v>12</v>
      </c>
      <c r="E9726" s="5" t="s">
        <v>3962</v>
      </c>
    </row>
    <row r="9727" spans="1:5" x14ac:dyDescent="0.25">
      <c r="A9727" s="5">
        <f>9719</f>
      </c>
      <c r="B9727" s="5" t="s">
        <v>8970</v>
      </c>
      <c r="C9727" s="5" t="s">
        <v>11</v>
      </c>
      <c r="D9727" s="5" t="s">
        <v>12</v>
      </c>
      <c r="E9727" s="5" t="s">
        <v>3962</v>
      </c>
    </row>
    <row r="9728" spans="1:5" x14ac:dyDescent="0.25">
      <c r="A9728" s="5">
        <f>9720</f>
      </c>
      <c r="B9728" s="5" t="s">
        <v>8971</v>
      </c>
      <c r="C9728" s="5" t="s">
        <v>11</v>
      </c>
      <c r="D9728" s="5" t="s">
        <v>12</v>
      </c>
      <c r="E9728" s="5" t="s">
        <v>3962</v>
      </c>
    </row>
    <row r="9729" spans="1:5" x14ac:dyDescent="0.25">
      <c r="A9729" s="5">
        <f>9721</f>
      </c>
      <c r="B9729" s="5" t="s">
        <v>8972</v>
      </c>
      <c r="C9729" s="5" t="s">
        <v>11</v>
      </c>
      <c r="D9729" s="5" t="s">
        <v>12</v>
      </c>
      <c r="E9729" s="5" t="s">
        <v>3962</v>
      </c>
    </row>
    <row r="9730" spans="1:5" x14ac:dyDescent="0.25">
      <c r="A9730" s="5">
        <f>9722</f>
      </c>
      <c r="B9730" s="5" t="s">
        <v>8973</v>
      </c>
      <c r="C9730" s="5" t="s">
        <v>11</v>
      </c>
      <c r="D9730" s="5" t="s">
        <v>12</v>
      </c>
      <c r="E9730" s="5" t="s">
        <v>3962</v>
      </c>
    </row>
    <row r="9731" spans="1:5" x14ac:dyDescent="0.25">
      <c r="A9731" s="5">
        <f>9723</f>
      </c>
      <c r="B9731" s="5" t="s">
        <v>8974</v>
      </c>
      <c r="C9731" s="5" t="s">
        <v>11</v>
      </c>
      <c r="D9731" s="5" t="s">
        <v>12</v>
      </c>
      <c r="E9731" s="5" t="s">
        <v>3962</v>
      </c>
    </row>
    <row r="9732" spans="1:5" x14ac:dyDescent="0.25">
      <c r="A9732" s="5">
        <f>9724</f>
      </c>
      <c r="B9732" s="5" t="s">
        <v>8975</v>
      </c>
      <c r="C9732" s="5" t="s">
        <v>11</v>
      </c>
      <c r="D9732" s="5" t="s">
        <v>12</v>
      </c>
      <c r="E9732" s="5" t="s">
        <v>3962</v>
      </c>
    </row>
    <row r="9733" spans="1:5" x14ac:dyDescent="0.25">
      <c r="A9733" s="5">
        <f>9725</f>
      </c>
      <c r="B9733" s="5" t="s">
        <v>8976</v>
      </c>
      <c r="C9733" s="5" t="s">
        <v>11</v>
      </c>
      <c r="D9733" s="5" t="s">
        <v>12</v>
      </c>
      <c r="E9733" s="5" t="s">
        <v>3962</v>
      </c>
    </row>
    <row r="9734" spans="1:5" x14ac:dyDescent="0.25">
      <c r="A9734" s="5">
        <f>9726</f>
      </c>
      <c r="B9734" s="5" t="s">
        <v>8977</v>
      </c>
      <c r="C9734" s="5" t="s">
        <v>11</v>
      </c>
      <c r="D9734" s="5" t="s">
        <v>12</v>
      </c>
      <c r="E9734" s="5" t="s">
        <v>3962</v>
      </c>
    </row>
    <row r="9735" spans="1:5" x14ac:dyDescent="0.25">
      <c r="A9735" s="5">
        <f>9727</f>
      </c>
      <c r="B9735" s="5" t="s">
        <v>8978</v>
      </c>
      <c r="C9735" s="5" t="s">
        <v>11</v>
      </c>
      <c r="D9735" s="5" t="s">
        <v>12</v>
      </c>
      <c r="E9735" s="5" t="s">
        <v>3962</v>
      </c>
    </row>
    <row r="9736" spans="1:5" x14ac:dyDescent="0.25">
      <c r="A9736" s="5">
        <f>9728</f>
      </c>
      <c r="B9736" s="5" t="s">
        <v>8979</v>
      </c>
      <c r="C9736" s="5" t="s">
        <v>11</v>
      </c>
      <c r="D9736" s="5" t="s">
        <v>12</v>
      </c>
      <c r="E9736" s="5" t="s">
        <v>3962</v>
      </c>
    </row>
    <row r="9737" spans="1:5" x14ac:dyDescent="0.25">
      <c r="A9737" s="5">
        <f>9729</f>
      </c>
      <c r="B9737" s="5" t="s">
        <v>8980</v>
      </c>
      <c r="C9737" s="5" t="s">
        <v>11</v>
      </c>
      <c r="D9737" s="5" t="s">
        <v>12</v>
      </c>
      <c r="E9737" s="5" t="s">
        <v>3962</v>
      </c>
    </row>
    <row r="9738" spans="1:5" x14ac:dyDescent="0.25">
      <c r="A9738" s="5">
        <f>9730</f>
      </c>
      <c r="B9738" s="5" t="s">
        <v>8981</v>
      </c>
      <c r="C9738" s="5" t="s">
        <v>11</v>
      </c>
      <c r="D9738" s="5" t="s">
        <v>12</v>
      </c>
      <c r="E9738" s="5" t="s">
        <v>3962</v>
      </c>
    </row>
    <row r="9739" spans="1:5" x14ac:dyDescent="0.25">
      <c r="A9739" s="5">
        <f>9731</f>
      </c>
      <c r="B9739" s="5" t="s">
        <v>8982</v>
      </c>
      <c r="C9739" s="5" t="s">
        <v>11</v>
      </c>
      <c r="D9739" s="5" t="s">
        <v>12</v>
      </c>
      <c r="E9739" s="5" t="s">
        <v>3962</v>
      </c>
    </row>
    <row r="9740" spans="1:5" x14ac:dyDescent="0.25">
      <c r="A9740" s="5">
        <f>9732</f>
      </c>
      <c r="B9740" s="5" t="s">
        <v>8983</v>
      </c>
      <c r="C9740" s="5" t="s">
        <v>11</v>
      </c>
      <c r="D9740" s="5" t="s">
        <v>12</v>
      </c>
      <c r="E9740" s="5" t="s">
        <v>3962</v>
      </c>
    </row>
    <row r="9741" spans="1:5" x14ac:dyDescent="0.25">
      <c r="A9741" s="5">
        <f>9733</f>
      </c>
      <c r="B9741" s="5" t="s">
        <v>8984</v>
      </c>
      <c r="C9741" s="5" t="s">
        <v>11</v>
      </c>
      <c r="D9741" s="5" t="s">
        <v>12</v>
      </c>
      <c r="E9741" s="5" t="s">
        <v>3962</v>
      </c>
    </row>
    <row r="9742" spans="1:5" x14ac:dyDescent="0.25">
      <c r="A9742" s="5">
        <f>9734</f>
      </c>
      <c r="B9742" s="5" t="s">
        <v>8985</v>
      </c>
      <c r="C9742" s="5" t="s">
        <v>11</v>
      </c>
      <c r="D9742" s="5" t="s">
        <v>12</v>
      </c>
      <c r="E9742" s="5" t="s">
        <v>3962</v>
      </c>
    </row>
    <row r="9743" spans="1:5" x14ac:dyDescent="0.25">
      <c r="A9743" s="5">
        <f>9735</f>
      </c>
      <c r="B9743" s="5" t="s">
        <v>8986</v>
      </c>
      <c r="C9743" s="5" t="s">
        <v>11</v>
      </c>
      <c r="D9743" s="5" t="s">
        <v>12</v>
      </c>
      <c r="E9743" s="5" t="s">
        <v>3962</v>
      </c>
    </row>
    <row r="9744" spans="1:5" x14ac:dyDescent="0.25">
      <c r="A9744" s="5">
        <f>9736</f>
      </c>
      <c r="B9744" s="5" t="s">
        <v>8987</v>
      </c>
      <c r="C9744" s="5" t="s">
        <v>11</v>
      </c>
      <c r="D9744" s="5" t="s">
        <v>12</v>
      </c>
      <c r="E9744" s="5" t="s">
        <v>3962</v>
      </c>
    </row>
    <row r="9745" spans="1:5" x14ac:dyDescent="0.25">
      <c r="A9745" s="5">
        <f>9737</f>
      </c>
      <c r="B9745" s="5" t="s">
        <v>8988</v>
      </c>
      <c r="C9745" s="5" t="s">
        <v>11</v>
      </c>
      <c r="D9745" s="5" t="s">
        <v>12</v>
      </c>
      <c r="E9745" s="5" t="s">
        <v>3962</v>
      </c>
    </row>
    <row r="9746" spans="1:5" x14ac:dyDescent="0.25">
      <c r="A9746" s="5">
        <f>9738</f>
      </c>
      <c r="B9746" s="5" t="s">
        <v>8989</v>
      </c>
      <c r="C9746" s="5" t="s">
        <v>11</v>
      </c>
      <c r="D9746" s="5" t="s">
        <v>12</v>
      </c>
      <c r="E9746" s="5" t="s">
        <v>3962</v>
      </c>
    </row>
    <row r="9747" spans="1:5" x14ac:dyDescent="0.25">
      <c r="A9747" s="5">
        <f>9739</f>
      </c>
      <c r="B9747" s="5" t="s">
        <v>8990</v>
      </c>
      <c r="C9747" s="5" t="s">
        <v>11</v>
      </c>
      <c r="D9747" s="5" t="s">
        <v>12</v>
      </c>
      <c r="E9747" s="5" t="s">
        <v>3962</v>
      </c>
    </row>
    <row r="9748" spans="1:5" x14ac:dyDescent="0.25">
      <c r="A9748" s="5">
        <f>9740</f>
      </c>
      <c r="B9748" s="5" t="s">
        <v>8991</v>
      </c>
      <c r="C9748" s="5" t="s">
        <v>11</v>
      </c>
      <c r="D9748" s="5" t="s">
        <v>12</v>
      </c>
      <c r="E9748" s="5" t="s">
        <v>3962</v>
      </c>
    </row>
    <row r="9749" spans="1:5" x14ac:dyDescent="0.25">
      <c r="A9749" s="5">
        <f>9741</f>
      </c>
      <c r="B9749" s="5" t="s">
        <v>8992</v>
      </c>
      <c r="C9749" s="5" t="s">
        <v>11</v>
      </c>
      <c r="D9749" s="5" t="s">
        <v>12</v>
      </c>
      <c r="E9749" s="5" t="s">
        <v>3962</v>
      </c>
    </row>
    <row r="9750" spans="1:5" x14ac:dyDescent="0.25">
      <c r="A9750" s="5">
        <f>9742</f>
      </c>
      <c r="B9750" s="5" t="s">
        <v>8993</v>
      </c>
      <c r="C9750" s="5" t="s">
        <v>11</v>
      </c>
      <c r="D9750" s="5" t="s">
        <v>12</v>
      </c>
      <c r="E9750" s="5" t="s">
        <v>3962</v>
      </c>
    </row>
    <row r="9751" spans="1:5" x14ac:dyDescent="0.25">
      <c r="A9751" s="5">
        <f>9743</f>
      </c>
      <c r="B9751" s="5" t="s">
        <v>8994</v>
      </c>
      <c r="C9751" s="5" t="s">
        <v>11</v>
      </c>
      <c r="D9751" s="5" t="s">
        <v>12</v>
      </c>
      <c r="E9751" s="5" t="s">
        <v>3962</v>
      </c>
    </row>
    <row r="9752" spans="1:5" x14ac:dyDescent="0.25">
      <c r="A9752" s="5">
        <f>9744</f>
      </c>
      <c r="B9752" s="5" t="s">
        <v>8995</v>
      </c>
      <c r="C9752" s="5" t="s">
        <v>11</v>
      </c>
      <c r="D9752" s="5" t="s">
        <v>12</v>
      </c>
      <c r="E9752" s="5" t="s">
        <v>3962</v>
      </c>
    </row>
    <row r="9753" spans="1:5" x14ac:dyDescent="0.25">
      <c r="A9753" s="5">
        <f>9745</f>
      </c>
      <c r="B9753" s="5" t="s">
        <v>8996</v>
      </c>
      <c r="C9753" s="5" t="s">
        <v>11</v>
      </c>
      <c r="D9753" s="5" t="s">
        <v>12</v>
      </c>
      <c r="E9753" s="5" t="s">
        <v>3962</v>
      </c>
    </row>
    <row r="9754" spans="1:5" x14ac:dyDescent="0.25">
      <c r="A9754" s="5">
        <f>9746</f>
      </c>
      <c r="B9754" s="5" t="s">
        <v>8997</v>
      </c>
      <c r="C9754" s="5" t="s">
        <v>11</v>
      </c>
      <c r="D9754" s="5" t="s">
        <v>12</v>
      </c>
      <c r="E9754" s="5" t="s">
        <v>3962</v>
      </c>
    </row>
    <row r="9755" spans="1:5" x14ac:dyDescent="0.25">
      <c r="A9755" s="5">
        <f>9747</f>
      </c>
      <c r="B9755" s="5" t="s">
        <v>8998</v>
      </c>
      <c r="C9755" s="5" t="s">
        <v>11</v>
      </c>
      <c r="D9755" s="5" t="s">
        <v>12</v>
      </c>
      <c r="E9755" s="5" t="s">
        <v>3962</v>
      </c>
    </row>
    <row r="9756" spans="1:5" x14ac:dyDescent="0.25">
      <c r="A9756" s="5">
        <f>9748</f>
      </c>
      <c r="B9756" s="5" t="s">
        <v>8999</v>
      </c>
      <c r="C9756" s="5" t="s">
        <v>11</v>
      </c>
      <c r="D9756" s="5" t="s">
        <v>12</v>
      </c>
      <c r="E9756" s="5" t="s">
        <v>3962</v>
      </c>
    </row>
    <row r="9757" spans="1:5" x14ac:dyDescent="0.25">
      <c r="A9757" s="5">
        <f>9749</f>
      </c>
      <c r="B9757" s="5" t="s">
        <v>9000</v>
      </c>
      <c r="C9757" s="5" t="s">
        <v>11</v>
      </c>
      <c r="D9757" s="5" t="s">
        <v>12</v>
      </c>
      <c r="E9757" s="5" t="s">
        <v>3962</v>
      </c>
    </row>
    <row r="9758" spans="1:5" x14ac:dyDescent="0.25">
      <c r="A9758" s="5">
        <f>9750</f>
      </c>
      <c r="B9758" s="5" t="s">
        <v>9001</v>
      </c>
      <c r="C9758" s="5" t="s">
        <v>11</v>
      </c>
      <c r="D9758" s="5" t="s">
        <v>12</v>
      </c>
      <c r="E9758" s="5" t="s">
        <v>3962</v>
      </c>
    </row>
    <row r="9759" spans="1:5" x14ac:dyDescent="0.25">
      <c r="A9759" s="5">
        <f>9751</f>
      </c>
      <c r="B9759" s="5" t="s">
        <v>9002</v>
      </c>
      <c r="C9759" s="5" t="s">
        <v>11</v>
      </c>
      <c r="D9759" s="5" t="s">
        <v>12</v>
      </c>
      <c r="E9759" s="5" t="s">
        <v>3962</v>
      </c>
    </row>
    <row r="9760" spans="1:5" x14ac:dyDescent="0.25">
      <c r="A9760" s="5">
        <f>9752</f>
      </c>
      <c r="B9760" s="5" t="s">
        <v>9003</v>
      </c>
      <c r="C9760" s="5" t="s">
        <v>11</v>
      </c>
      <c r="D9760" s="5" t="s">
        <v>12</v>
      </c>
      <c r="E9760" s="5" t="s">
        <v>3962</v>
      </c>
    </row>
    <row r="9761" spans="1:5" x14ac:dyDescent="0.25">
      <c r="A9761" s="5">
        <f>9753</f>
      </c>
      <c r="B9761" s="5" t="s">
        <v>9004</v>
      </c>
      <c r="C9761" s="5" t="s">
        <v>11</v>
      </c>
      <c r="D9761" s="5" t="s">
        <v>12</v>
      </c>
      <c r="E9761" s="5" t="s">
        <v>3962</v>
      </c>
    </row>
    <row r="9762" spans="1:5" x14ac:dyDescent="0.25">
      <c r="A9762" s="5">
        <f>9754</f>
      </c>
      <c r="B9762" s="5" t="s">
        <v>9005</v>
      </c>
      <c r="C9762" s="5" t="s">
        <v>11</v>
      </c>
      <c r="D9762" s="5" t="s">
        <v>12</v>
      </c>
      <c r="E9762" s="5" t="s">
        <v>3962</v>
      </c>
    </row>
    <row r="9763" spans="1:5" x14ac:dyDescent="0.25">
      <c r="A9763" s="5">
        <f>9755</f>
      </c>
      <c r="B9763" s="5" t="s">
        <v>9006</v>
      </c>
      <c r="C9763" s="5" t="s">
        <v>11</v>
      </c>
      <c r="D9763" s="5" t="s">
        <v>12</v>
      </c>
      <c r="E9763" s="5" t="s">
        <v>3962</v>
      </c>
    </row>
    <row r="9764" spans="1:5" x14ac:dyDescent="0.25">
      <c r="A9764" s="5">
        <f>9756</f>
      </c>
      <c r="B9764" s="5" t="s">
        <v>9007</v>
      </c>
      <c r="C9764" s="5" t="s">
        <v>11</v>
      </c>
      <c r="D9764" s="5" t="s">
        <v>12</v>
      </c>
      <c r="E9764" s="5" t="s">
        <v>3962</v>
      </c>
    </row>
    <row r="9765" spans="1:5" x14ac:dyDescent="0.25">
      <c r="A9765" s="5">
        <f>9757</f>
      </c>
      <c r="B9765" s="5" t="s">
        <v>9008</v>
      </c>
      <c r="C9765" s="5" t="s">
        <v>11</v>
      </c>
      <c r="D9765" s="5" t="s">
        <v>12</v>
      </c>
      <c r="E9765" s="5" t="s">
        <v>3962</v>
      </c>
    </row>
    <row r="9766" spans="1:5" x14ac:dyDescent="0.25">
      <c r="A9766" s="5">
        <f>9758</f>
      </c>
      <c r="B9766" s="5" t="s">
        <v>9009</v>
      </c>
      <c r="C9766" s="5" t="s">
        <v>11</v>
      </c>
      <c r="D9766" s="5" t="s">
        <v>12</v>
      </c>
      <c r="E9766" s="5" t="s">
        <v>3962</v>
      </c>
    </row>
    <row r="9767" spans="1:5" x14ac:dyDescent="0.25">
      <c r="A9767" s="5">
        <f>9759</f>
      </c>
      <c r="B9767" s="5" t="s">
        <v>9010</v>
      </c>
      <c r="C9767" s="5" t="s">
        <v>11</v>
      </c>
      <c r="D9767" s="5" t="s">
        <v>12</v>
      </c>
      <c r="E9767" s="5" t="s">
        <v>3962</v>
      </c>
    </row>
    <row r="9768" spans="1:5" x14ac:dyDescent="0.25">
      <c r="A9768" s="5">
        <f>9760</f>
      </c>
      <c r="B9768" s="5" t="s">
        <v>9011</v>
      </c>
      <c r="C9768" s="5" t="s">
        <v>11</v>
      </c>
      <c r="D9768" s="5" t="s">
        <v>12</v>
      </c>
      <c r="E9768" s="5" t="s">
        <v>3962</v>
      </c>
    </row>
    <row r="9769" spans="1:5" x14ac:dyDescent="0.25">
      <c r="A9769" s="5">
        <f>9761</f>
      </c>
      <c r="B9769" s="5" t="s">
        <v>9012</v>
      </c>
      <c r="C9769" s="5" t="s">
        <v>11</v>
      </c>
      <c r="D9769" s="5" t="s">
        <v>12</v>
      </c>
      <c r="E9769" s="5" t="s">
        <v>3962</v>
      </c>
    </row>
    <row r="9770" spans="1:5" x14ac:dyDescent="0.25">
      <c r="A9770" s="5">
        <f>9762</f>
      </c>
      <c r="B9770" s="5" t="s">
        <v>9013</v>
      </c>
      <c r="C9770" s="5" t="s">
        <v>11</v>
      </c>
      <c r="D9770" s="5" t="s">
        <v>12</v>
      </c>
      <c r="E9770" s="5" t="s">
        <v>3962</v>
      </c>
    </row>
    <row r="9771" spans="1:5" x14ac:dyDescent="0.25">
      <c r="A9771" s="5">
        <f>9763</f>
      </c>
      <c r="B9771" s="5" t="s">
        <v>9014</v>
      </c>
      <c r="C9771" s="5" t="s">
        <v>11</v>
      </c>
      <c r="D9771" s="5" t="s">
        <v>12</v>
      </c>
      <c r="E9771" s="5" t="s">
        <v>3962</v>
      </c>
    </row>
    <row r="9772" spans="1:5" x14ac:dyDescent="0.25">
      <c r="A9772" s="5">
        <f>9764</f>
      </c>
      <c r="B9772" s="5" t="s">
        <v>9015</v>
      </c>
      <c r="C9772" s="5" t="s">
        <v>11</v>
      </c>
      <c r="D9772" s="5" t="s">
        <v>12</v>
      </c>
      <c r="E9772" s="5" t="s">
        <v>3962</v>
      </c>
    </row>
    <row r="9773" spans="1:5" x14ac:dyDescent="0.25">
      <c r="A9773" s="5">
        <f>9765</f>
      </c>
      <c r="B9773" s="5" t="s">
        <v>9016</v>
      </c>
      <c r="C9773" s="5" t="s">
        <v>11</v>
      </c>
      <c r="D9773" s="5" t="s">
        <v>12</v>
      </c>
      <c r="E9773" s="5" t="s">
        <v>3962</v>
      </c>
    </row>
    <row r="9774" spans="1:5" x14ac:dyDescent="0.25">
      <c r="A9774" s="5">
        <f>9766</f>
      </c>
      <c r="B9774" s="5" t="s">
        <v>9017</v>
      </c>
      <c r="C9774" s="5" t="s">
        <v>11</v>
      </c>
      <c r="D9774" s="5" t="s">
        <v>12</v>
      </c>
      <c r="E9774" s="5" t="s">
        <v>3962</v>
      </c>
    </row>
    <row r="9775" spans="1:5" x14ac:dyDescent="0.25">
      <c r="A9775" s="5">
        <f>9767</f>
      </c>
      <c r="B9775" s="5" t="s">
        <v>9018</v>
      </c>
      <c r="C9775" s="5" t="s">
        <v>11</v>
      </c>
      <c r="D9775" s="5" t="s">
        <v>12</v>
      </c>
      <c r="E9775" s="5" t="s">
        <v>3962</v>
      </c>
    </row>
    <row r="9776" spans="1:5" x14ac:dyDescent="0.25">
      <c r="A9776" s="5">
        <f>9768</f>
      </c>
      <c r="B9776" s="5" t="s">
        <v>9019</v>
      </c>
      <c r="C9776" s="5" t="s">
        <v>11</v>
      </c>
      <c r="D9776" s="5" t="s">
        <v>12</v>
      </c>
      <c r="E9776" s="5" t="s">
        <v>3962</v>
      </c>
    </row>
    <row r="9777" spans="1:5" x14ac:dyDescent="0.25">
      <c r="A9777" s="5">
        <f>9769</f>
      </c>
      <c r="B9777" s="5" t="s">
        <v>9020</v>
      </c>
      <c r="C9777" s="5" t="s">
        <v>11</v>
      </c>
      <c r="D9777" s="5" t="s">
        <v>12</v>
      </c>
      <c r="E9777" s="5" t="s">
        <v>3962</v>
      </c>
    </row>
    <row r="9778" spans="1:5" x14ac:dyDescent="0.25">
      <c r="A9778" s="5">
        <f>9770</f>
      </c>
      <c r="B9778" s="5" t="s">
        <v>9021</v>
      </c>
      <c r="C9778" s="5" t="s">
        <v>11</v>
      </c>
      <c r="D9778" s="5" t="s">
        <v>12</v>
      </c>
      <c r="E9778" s="5" t="s">
        <v>3962</v>
      </c>
    </row>
    <row r="9779" spans="1:5" x14ac:dyDescent="0.25">
      <c r="A9779" s="5">
        <f>9771</f>
      </c>
      <c r="B9779" s="5" t="s">
        <v>9022</v>
      </c>
      <c r="C9779" s="5" t="s">
        <v>11</v>
      </c>
      <c r="D9779" s="5" t="s">
        <v>12</v>
      </c>
      <c r="E9779" s="5" t="s">
        <v>3962</v>
      </c>
    </row>
    <row r="9780" spans="1:5" x14ac:dyDescent="0.25">
      <c r="A9780" s="5">
        <f>9772</f>
      </c>
      <c r="B9780" s="5" t="s">
        <v>9023</v>
      </c>
      <c r="C9780" s="5" t="s">
        <v>11</v>
      </c>
      <c r="D9780" s="5" t="s">
        <v>12</v>
      </c>
      <c r="E9780" s="5" t="s">
        <v>3962</v>
      </c>
    </row>
    <row r="9781" spans="1:5" x14ac:dyDescent="0.25">
      <c r="A9781" s="5">
        <f>9773</f>
      </c>
      <c r="B9781" s="5" t="s">
        <v>9024</v>
      </c>
      <c r="C9781" s="5" t="s">
        <v>11</v>
      </c>
      <c r="D9781" s="5" t="s">
        <v>12</v>
      </c>
      <c r="E9781" s="5" t="s">
        <v>3962</v>
      </c>
    </row>
    <row r="9782" spans="1:5" x14ac:dyDescent="0.25">
      <c r="A9782" s="5">
        <f>9774</f>
      </c>
      <c r="B9782" s="5" t="s">
        <v>9025</v>
      </c>
      <c r="C9782" s="5" t="s">
        <v>11</v>
      </c>
      <c r="D9782" s="5" t="s">
        <v>12</v>
      </c>
      <c r="E9782" s="5" t="s">
        <v>3962</v>
      </c>
    </row>
    <row r="9783" spans="1:5" x14ac:dyDescent="0.25">
      <c r="A9783" s="5">
        <f>9775</f>
      </c>
      <c r="B9783" s="5" t="s">
        <v>9026</v>
      </c>
      <c r="C9783" s="5" t="s">
        <v>11</v>
      </c>
      <c r="D9783" s="5" t="s">
        <v>12</v>
      </c>
      <c r="E9783" s="5" t="s">
        <v>3962</v>
      </c>
    </row>
    <row r="9784" spans="1:5" x14ac:dyDescent="0.25">
      <c r="A9784" s="5">
        <f>9776</f>
      </c>
      <c r="B9784" s="5" t="s">
        <v>9027</v>
      </c>
      <c r="C9784" s="5" t="s">
        <v>11</v>
      </c>
      <c r="D9784" s="5" t="s">
        <v>12</v>
      </c>
      <c r="E9784" s="5" t="s">
        <v>3962</v>
      </c>
    </row>
    <row r="9785" spans="1:5" x14ac:dyDescent="0.25">
      <c r="A9785" s="5">
        <f>9777</f>
      </c>
      <c r="B9785" s="5" t="s">
        <v>9028</v>
      </c>
      <c r="C9785" s="5" t="s">
        <v>11</v>
      </c>
      <c r="D9785" s="5" t="s">
        <v>12</v>
      </c>
      <c r="E9785" s="5" t="s">
        <v>3962</v>
      </c>
    </row>
    <row r="9786" spans="1:5" x14ac:dyDescent="0.25">
      <c r="A9786" s="5">
        <f>9778</f>
      </c>
      <c r="B9786" s="5" t="s">
        <v>9029</v>
      </c>
      <c r="C9786" s="5" t="s">
        <v>11</v>
      </c>
      <c r="D9786" s="5" t="s">
        <v>12</v>
      </c>
      <c r="E9786" s="5" t="s">
        <v>3962</v>
      </c>
    </row>
    <row r="9787" spans="1:5" x14ac:dyDescent="0.25">
      <c r="A9787" s="5">
        <f>9779</f>
      </c>
      <c r="B9787" s="5" t="s">
        <v>9030</v>
      </c>
      <c r="C9787" s="5" t="s">
        <v>11</v>
      </c>
      <c r="D9787" s="5" t="s">
        <v>12</v>
      </c>
      <c r="E9787" s="5" t="s">
        <v>3962</v>
      </c>
    </row>
    <row r="9788" spans="1:5" x14ac:dyDescent="0.25">
      <c r="A9788" s="5">
        <f>9780</f>
      </c>
      <c r="B9788" s="5" t="s">
        <v>9031</v>
      </c>
      <c r="C9788" s="5" t="s">
        <v>11</v>
      </c>
      <c r="D9788" s="5" t="s">
        <v>12</v>
      </c>
      <c r="E9788" s="5" t="s">
        <v>3962</v>
      </c>
    </row>
    <row r="9789" spans="1:5" x14ac:dyDescent="0.25">
      <c r="A9789" s="5">
        <f>9781</f>
      </c>
      <c r="B9789" s="5" t="s">
        <v>9032</v>
      </c>
      <c r="C9789" s="5" t="s">
        <v>11</v>
      </c>
      <c r="D9789" s="5" t="s">
        <v>12</v>
      </c>
      <c r="E9789" s="5" t="s">
        <v>3962</v>
      </c>
    </row>
    <row r="9790" spans="1:5" x14ac:dyDescent="0.25">
      <c r="A9790" s="5">
        <f>9782</f>
      </c>
      <c r="B9790" s="5" t="s">
        <v>9033</v>
      </c>
      <c r="C9790" s="5" t="s">
        <v>11</v>
      </c>
      <c r="D9790" s="5" t="s">
        <v>12</v>
      </c>
      <c r="E9790" s="5" t="s">
        <v>3962</v>
      </c>
    </row>
    <row r="9791" spans="1:5" x14ac:dyDescent="0.25">
      <c r="A9791" s="5">
        <f>9783</f>
      </c>
      <c r="B9791" s="5" t="s">
        <v>9034</v>
      </c>
      <c r="C9791" s="5" t="s">
        <v>11</v>
      </c>
      <c r="D9791" s="5" t="s">
        <v>12</v>
      </c>
      <c r="E9791" s="5" t="s">
        <v>3962</v>
      </c>
    </row>
    <row r="9792" spans="1:5" x14ac:dyDescent="0.25">
      <c r="A9792" s="5">
        <f>9784</f>
      </c>
      <c r="B9792" s="5" t="s">
        <v>9035</v>
      </c>
      <c r="C9792" s="5" t="s">
        <v>11</v>
      </c>
      <c r="D9792" s="5" t="s">
        <v>12</v>
      </c>
      <c r="E9792" s="5" t="s">
        <v>3962</v>
      </c>
    </row>
    <row r="9793" spans="1:5" x14ac:dyDescent="0.25">
      <c r="A9793" s="5">
        <f>9785</f>
      </c>
      <c r="B9793" s="5" t="s">
        <v>9036</v>
      </c>
      <c r="C9793" s="5" t="s">
        <v>11</v>
      </c>
      <c r="D9793" s="5" t="s">
        <v>12</v>
      </c>
      <c r="E9793" s="5" t="s">
        <v>3962</v>
      </c>
    </row>
    <row r="9794" spans="1:5" x14ac:dyDescent="0.25">
      <c r="A9794" s="5">
        <f>9786</f>
      </c>
      <c r="B9794" s="5" t="s">
        <v>9037</v>
      </c>
      <c r="C9794" s="5" t="s">
        <v>11</v>
      </c>
      <c r="D9794" s="5" t="s">
        <v>12</v>
      </c>
      <c r="E9794" s="5" t="s">
        <v>3962</v>
      </c>
    </row>
    <row r="9795" spans="1:5" x14ac:dyDescent="0.25">
      <c r="A9795" s="5">
        <f>9787</f>
      </c>
      <c r="B9795" s="5" t="s">
        <v>9038</v>
      </c>
      <c r="C9795" s="5" t="s">
        <v>11</v>
      </c>
      <c r="D9795" s="5" t="s">
        <v>12</v>
      </c>
      <c r="E9795" s="5" t="s">
        <v>3962</v>
      </c>
    </row>
    <row r="9796" spans="1:5" x14ac:dyDescent="0.25">
      <c r="A9796" s="5">
        <f>9788</f>
      </c>
      <c r="B9796" s="5" t="s">
        <v>9039</v>
      </c>
      <c r="C9796" s="5" t="s">
        <v>11</v>
      </c>
      <c r="D9796" s="5" t="s">
        <v>12</v>
      </c>
      <c r="E9796" s="5" t="s">
        <v>3962</v>
      </c>
    </row>
    <row r="9797" spans="1:5" x14ac:dyDescent="0.25">
      <c r="A9797" s="5">
        <f>9789</f>
      </c>
      <c r="B9797" s="5" t="s">
        <v>9040</v>
      </c>
      <c r="C9797" s="5" t="s">
        <v>11</v>
      </c>
      <c r="D9797" s="5" t="s">
        <v>12</v>
      </c>
      <c r="E9797" s="5" t="s">
        <v>3962</v>
      </c>
    </row>
    <row r="9798" spans="1:5" x14ac:dyDescent="0.25">
      <c r="A9798" s="5">
        <f>9790</f>
      </c>
      <c r="B9798" s="5" t="s">
        <v>9041</v>
      </c>
      <c r="C9798" s="5" t="s">
        <v>11</v>
      </c>
      <c r="D9798" s="5" t="s">
        <v>12</v>
      </c>
      <c r="E9798" s="5" t="s">
        <v>3962</v>
      </c>
    </row>
    <row r="9799" spans="1:5" x14ac:dyDescent="0.25">
      <c r="A9799" s="5">
        <f>9791</f>
      </c>
      <c r="B9799" s="5" t="s">
        <v>9042</v>
      </c>
      <c r="C9799" s="5" t="s">
        <v>11</v>
      </c>
      <c r="D9799" s="5" t="s">
        <v>12</v>
      </c>
      <c r="E9799" s="5" t="s">
        <v>3962</v>
      </c>
    </row>
    <row r="9800" spans="1:5" x14ac:dyDescent="0.25">
      <c r="A9800" s="5">
        <f>9792</f>
      </c>
      <c r="B9800" s="5" t="s">
        <v>9043</v>
      </c>
      <c r="C9800" s="5" t="s">
        <v>11</v>
      </c>
      <c r="D9800" s="5" t="s">
        <v>12</v>
      </c>
      <c r="E9800" s="5" t="s">
        <v>3962</v>
      </c>
    </row>
    <row r="9801" spans="1:5" x14ac:dyDescent="0.25">
      <c r="A9801" s="5">
        <f>9793</f>
      </c>
      <c r="B9801" s="5" t="s">
        <v>9044</v>
      </c>
      <c r="C9801" s="5" t="s">
        <v>11</v>
      </c>
      <c r="D9801" s="5" t="s">
        <v>12</v>
      </c>
      <c r="E9801" s="5" t="s">
        <v>3962</v>
      </c>
    </row>
    <row r="9802" spans="1:5" x14ac:dyDescent="0.25">
      <c r="A9802" s="5">
        <f>9794</f>
      </c>
      <c r="B9802" s="5" t="s">
        <v>9045</v>
      </c>
      <c r="C9802" s="5" t="s">
        <v>11</v>
      </c>
      <c r="D9802" s="5" t="s">
        <v>12</v>
      </c>
      <c r="E9802" s="5" t="s">
        <v>3962</v>
      </c>
    </row>
    <row r="9803" spans="1:5" x14ac:dyDescent="0.25">
      <c r="A9803" s="5">
        <f>9795</f>
      </c>
      <c r="B9803" s="5" t="s">
        <v>9046</v>
      </c>
      <c r="C9803" s="5" t="s">
        <v>11</v>
      </c>
      <c r="D9803" s="5" t="s">
        <v>12</v>
      </c>
      <c r="E9803" s="5" t="s">
        <v>3962</v>
      </c>
    </row>
    <row r="9804" spans="1:5" x14ac:dyDescent="0.25">
      <c r="A9804" s="5">
        <f>9796</f>
      </c>
      <c r="B9804" s="5" t="s">
        <v>9047</v>
      </c>
      <c r="C9804" s="5" t="s">
        <v>11</v>
      </c>
      <c r="D9804" s="5" t="s">
        <v>12</v>
      </c>
      <c r="E9804" s="5" t="s">
        <v>3962</v>
      </c>
    </row>
    <row r="9805" spans="1:5" x14ac:dyDescent="0.25">
      <c r="A9805" s="5">
        <f>9797</f>
      </c>
      <c r="B9805" s="5" t="s">
        <v>9048</v>
      </c>
      <c r="C9805" s="5" t="s">
        <v>11</v>
      </c>
      <c r="D9805" s="5" t="s">
        <v>12</v>
      </c>
      <c r="E9805" s="5" t="s">
        <v>3962</v>
      </c>
    </row>
    <row r="9806" spans="1:5" x14ac:dyDescent="0.25">
      <c r="A9806" s="5">
        <f>9798</f>
      </c>
      <c r="B9806" s="5" t="s">
        <v>9049</v>
      </c>
      <c r="C9806" s="5" t="s">
        <v>11</v>
      </c>
      <c r="D9806" s="5" t="s">
        <v>12</v>
      </c>
      <c r="E9806" s="5" t="s">
        <v>3962</v>
      </c>
    </row>
    <row r="9807" spans="1:5" x14ac:dyDescent="0.25">
      <c r="A9807" s="5">
        <f>9799</f>
      </c>
      <c r="B9807" s="5" t="s">
        <v>9050</v>
      </c>
      <c r="C9807" s="5" t="s">
        <v>11</v>
      </c>
      <c r="D9807" s="5" t="s">
        <v>12</v>
      </c>
      <c r="E9807" s="5" t="s">
        <v>3962</v>
      </c>
    </row>
    <row r="9808" spans="1:5" x14ac:dyDescent="0.25">
      <c r="A9808" s="5">
        <f>9800</f>
      </c>
      <c r="B9808" s="5" t="s">
        <v>9051</v>
      </c>
      <c r="C9808" s="5" t="s">
        <v>11</v>
      </c>
      <c r="D9808" s="5" t="s">
        <v>12</v>
      </c>
      <c r="E9808" s="5" t="s">
        <v>3962</v>
      </c>
    </row>
    <row r="9809" spans="1:5" x14ac:dyDescent="0.25">
      <c r="A9809" s="5">
        <f>9801</f>
      </c>
      <c r="B9809" s="5" t="s">
        <v>9052</v>
      </c>
      <c r="C9809" s="5" t="s">
        <v>11</v>
      </c>
      <c r="D9809" s="5" t="s">
        <v>12</v>
      </c>
      <c r="E9809" s="5" t="s">
        <v>3962</v>
      </c>
    </row>
    <row r="9810" spans="1:5" x14ac:dyDescent="0.25">
      <c r="A9810" s="5">
        <f>9802</f>
      </c>
      <c r="B9810" s="5" t="s">
        <v>9053</v>
      </c>
      <c r="C9810" s="5" t="s">
        <v>11</v>
      </c>
      <c r="D9810" s="5" t="s">
        <v>12</v>
      </c>
      <c r="E9810" s="5" t="s">
        <v>3962</v>
      </c>
    </row>
    <row r="9811" spans="1:5" x14ac:dyDescent="0.25">
      <c r="A9811" s="5">
        <f>9803</f>
      </c>
      <c r="B9811" s="5" t="s">
        <v>9054</v>
      </c>
      <c r="C9811" s="5" t="s">
        <v>11</v>
      </c>
      <c r="D9811" s="5" t="s">
        <v>12</v>
      </c>
      <c r="E9811" s="5" t="s">
        <v>3962</v>
      </c>
    </row>
    <row r="9812" spans="1:5" x14ac:dyDescent="0.25">
      <c r="A9812" s="5">
        <f>9804</f>
      </c>
      <c r="B9812" s="5" t="s">
        <v>9055</v>
      </c>
      <c r="C9812" s="5" t="s">
        <v>11</v>
      </c>
      <c r="D9812" s="5" t="s">
        <v>12</v>
      </c>
      <c r="E9812" s="5" t="s">
        <v>3962</v>
      </c>
    </row>
    <row r="9813" spans="1:5" x14ac:dyDescent="0.25">
      <c r="A9813" s="5">
        <f>9805</f>
      </c>
      <c r="B9813" s="5" t="s">
        <v>9056</v>
      </c>
      <c r="C9813" s="5" t="s">
        <v>11</v>
      </c>
      <c r="D9813" s="5" t="s">
        <v>12</v>
      </c>
      <c r="E9813" s="5" t="s">
        <v>3962</v>
      </c>
    </row>
    <row r="9814" spans="1:5" x14ac:dyDescent="0.25">
      <c r="A9814" s="5">
        <f>9806</f>
      </c>
      <c r="B9814" s="5" t="s">
        <v>9057</v>
      </c>
      <c r="C9814" s="5" t="s">
        <v>11</v>
      </c>
      <c r="D9814" s="5" t="s">
        <v>12</v>
      </c>
      <c r="E9814" s="5" t="s">
        <v>3962</v>
      </c>
    </row>
    <row r="9815" spans="1:5" x14ac:dyDescent="0.25">
      <c r="A9815" s="5">
        <f>9807</f>
      </c>
      <c r="B9815" s="5" t="s">
        <v>9058</v>
      </c>
      <c r="C9815" s="5" t="s">
        <v>11</v>
      </c>
      <c r="D9815" s="5" t="s">
        <v>12</v>
      </c>
      <c r="E9815" s="5" t="s">
        <v>3962</v>
      </c>
    </row>
    <row r="9816" spans="1:5" x14ac:dyDescent="0.25">
      <c r="A9816" s="5">
        <f>9808</f>
      </c>
      <c r="B9816" s="5" t="s">
        <v>9059</v>
      </c>
      <c r="C9816" s="5" t="s">
        <v>11</v>
      </c>
      <c r="D9816" s="5" t="s">
        <v>12</v>
      </c>
      <c r="E9816" s="5" t="s">
        <v>3962</v>
      </c>
    </row>
    <row r="9817" spans="1:5" x14ac:dyDescent="0.25">
      <c r="A9817" s="5">
        <f>9809</f>
      </c>
      <c r="B9817" s="5" t="s">
        <v>9060</v>
      </c>
      <c r="C9817" s="5" t="s">
        <v>11</v>
      </c>
      <c r="D9817" s="5" t="s">
        <v>12</v>
      </c>
      <c r="E9817" s="5" t="s">
        <v>3962</v>
      </c>
    </row>
    <row r="9818" spans="1:5" x14ac:dyDescent="0.25">
      <c r="A9818" s="5">
        <f>9810</f>
      </c>
      <c r="B9818" s="5" t="s">
        <v>9061</v>
      </c>
      <c r="C9818" s="5" t="s">
        <v>11</v>
      </c>
      <c r="D9818" s="5" t="s">
        <v>12</v>
      </c>
      <c r="E9818" s="5" t="s">
        <v>3962</v>
      </c>
    </row>
    <row r="9819" spans="1:5" x14ac:dyDescent="0.25">
      <c r="A9819" s="5">
        <f>9811</f>
      </c>
      <c r="B9819" s="5" t="s">
        <v>9062</v>
      </c>
      <c r="C9819" s="5" t="s">
        <v>11</v>
      </c>
      <c r="D9819" s="5" t="s">
        <v>12</v>
      </c>
      <c r="E9819" s="5" t="s">
        <v>3962</v>
      </c>
    </row>
    <row r="9820" spans="1:5" x14ac:dyDescent="0.25">
      <c r="A9820" s="5">
        <f>9812</f>
      </c>
      <c r="B9820" s="5" t="s">
        <v>9063</v>
      </c>
      <c r="C9820" s="5" t="s">
        <v>11</v>
      </c>
      <c r="D9820" s="5" t="s">
        <v>12</v>
      </c>
      <c r="E9820" s="5" t="s">
        <v>3962</v>
      </c>
    </row>
    <row r="9821" spans="1:5" x14ac:dyDescent="0.25">
      <c r="A9821" s="5">
        <f>9813</f>
      </c>
      <c r="B9821" s="5" t="s">
        <v>9064</v>
      </c>
      <c r="C9821" s="5" t="s">
        <v>11</v>
      </c>
      <c r="D9821" s="5" t="s">
        <v>12</v>
      </c>
      <c r="E9821" s="5" t="s">
        <v>3962</v>
      </c>
    </row>
    <row r="9822" spans="1:5" x14ac:dyDescent="0.25">
      <c r="A9822" s="5">
        <f>9814</f>
      </c>
      <c r="B9822" s="5" t="s">
        <v>9065</v>
      </c>
      <c r="C9822" s="5" t="s">
        <v>11</v>
      </c>
      <c r="D9822" s="5" t="s">
        <v>12</v>
      </c>
      <c r="E9822" s="5" t="s">
        <v>3962</v>
      </c>
    </row>
    <row r="9823" spans="1:5" x14ac:dyDescent="0.25">
      <c r="A9823" s="5">
        <f>9815</f>
      </c>
      <c r="B9823" s="5" t="s">
        <v>9066</v>
      </c>
      <c r="C9823" s="5" t="s">
        <v>11</v>
      </c>
      <c r="D9823" s="5" t="s">
        <v>12</v>
      </c>
      <c r="E9823" s="5" t="s">
        <v>3962</v>
      </c>
    </row>
    <row r="9824" spans="1:5" x14ac:dyDescent="0.25">
      <c r="A9824" s="5">
        <f>9816</f>
      </c>
      <c r="B9824" s="5" t="s">
        <v>9067</v>
      </c>
      <c r="C9824" s="5" t="s">
        <v>11</v>
      </c>
      <c r="D9824" s="5" t="s">
        <v>12</v>
      </c>
      <c r="E9824" s="5" t="s">
        <v>3962</v>
      </c>
    </row>
    <row r="9825" spans="1:5" x14ac:dyDescent="0.25">
      <c r="A9825" s="5">
        <f>9817</f>
      </c>
      <c r="B9825" s="5" t="s">
        <v>9068</v>
      </c>
      <c r="C9825" s="5" t="s">
        <v>11</v>
      </c>
      <c r="D9825" s="5" t="s">
        <v>12</v>
      </c>
      <c r="E9825" s="5" t="s">
        <v>3962</v>
      </c>
    </row>
    <row r="9826" spans="1:5" x14ac:dyDescent="0.25">
      <c r="A9826" s="5">
        <f>9818</f>
      </c>
      <c r="B9826" s="5" t="s">
        <v>9069</v>
      </c>
      <c r="C9826" s="5" t="s">
        <v>11</v>
      </c>
      <c r="D9826" s="5" t="s">
        <v>12</v>
      </c>
      <c r="E9826" s="5" t="s">
        <v>3962</v>
      </c>
    </row>
    <row r="9827" spans="1:5" x14ac:dyDescent="0.25">
      <c r="A9827" s="5">
        <f>9819</f>
      </c>
      <c r="B9827" s="5" t="s">
        <v>9070</v>
      </c>
      <c r="C9827" s="5" t="s">
        <v>11</v>
      </c>
      <c r="D9827" s="5" t="s">
        <v>12</v>
      </c>
      <c r="E9827" s="5" t="s">
        <v>3962</v>
      </c>
    </row>
    <row r="9828" spans="1:5" x14ac:dyDescent="0.25">
      <c r="A9828" s="5">
        <f>9820</f>
      </c>
      <c r="B9828" s="5" t="s">
        <v>9071</v>
      </c>
      <c r="C9828" s="5" t="s">
        <v>11</v>
      </c>
      <c r="D9828" s="5" t="s">
        <v>12</v>
      </c>
      <c r="E9828" s="5" t="s">
        <v>3962</v>
      </c>
    </row>
    <row r="9829" spans="1:5" x14ac:dyDescent="0.25">
      <c r="A9829" s="5">
        <f>9821</f>
      </c>
      <c r="B9829" s="5" t="s">
        <v>9072</v>
      </c>
      <c r="C9829" s="5" t="s">
        <v>11</v>
      </c>
      <c r="D9829" s="5" t="s">
        <v>12</v>
      </c>
      <c r="E9829" s="5" t="s">
        <v>3962</v>
      </c>
    </row>
    <row r="9830" spans="1:5" x14ac:dyDescent="0.25">
      <c r="A9830" s="5">
        <f>9822</f>
      </c>
      <c r="B9830" s="5" t="s">
        <v>9073</v>
      </c>
      <c r="C9830" s="5" t="s">
        <v>11</v>
      </c>
      <c r="D9830" s="5" t="s">
        <v>12</v>
      </c>
      <c r="E9830" s="5" t="s">
        <v>3962</v>
      </c>
    </row>
    <row r="9831" spans="1:5" x14ac:dyDescent="0.25">
      <c r="A9831" s="5">
        <f>9823</f>
      </c>
      <c r="B9831" s="5" t="s">
        <v>9074</v>
      </c>
      <c r="C9831" s="5" t="s">
        <v>11</v>
      </c>
      <c r="D9831" s="5" t="s">
        <v>12</v>
      </c>
      <c r="E9831" s="5" t="s">
        <v>3962</v>
      </c>
    </row>
    <row r="9832" spans="1:5" x14ac:dyDescent="0.25">
      <c r="A9832" s="5">
        <f>9824</f>
      </c>
      <c r="B9832" s="5" t="s">
        <v>9075</v>
      </c>
      <c r="C9832" s="5" t="s">
        <v>11</v>
      </c>
      <c r="D9832" s="5" t="s">
        <v>12</v>
      </c>
      <c r="E9832" s="5" t="s">
        <v>3962</v>
      </c>
    </row>
    <row r="9833" spans="1:5" x14ac:dyDescent="0.25">
      <c r="A9833" s="5">
        <f>9825</f>
      </c>
      <c r="B9833" s="5" t="s">
        <v>9076</v>
      </c>
      <c r="C9833" s="5" t="s">
        <v>11</v>
      </c>
      <c r="D9833" s="5" t="s">
        <v>12</v>
      </c>
      <c r="E9833" s="5" t="s">
        <v>3962</v>
      </c>
    </row>
    <row r="9834" spans="1:5" x14ac:dyDescent="0.25">
      <c r="A9834" s="5">
        <f>9826</f>
      </c>
      <c r="B9834" s="5" t="s">
        <v>9077</v>
      </c>
      <c r="C9834" s="5" t="s">
        <v>11</v>
      </c>
      <c r="D9834" s="5" t="s">
        <v>12</v>
      </c>
      <c r="E9834" s="5" t="s">
        <v>3962</v>
      </c>
    </row>
    <row r="9835" spans="1:5" x14ac:dyDescent="0.25">
      <c r="A9835" s="5">
        <f>9827</f>
      </c>
      <c r="B9835" s="5" t="s">
        <v>9078</v>
      </c>
      <c r="C9835" s="5" t="s">
        <v>11</v>
      </c>
      <c r="D9835" s="5" t="s">
        <v>12</v>
      </c>
      <c r="E9835" s="5" t="s">
        <v>3962</v>
      </c>
    </row>
    <row r="9836" spans="1:5" x14ac:dyDescent="0.25">
      <c r="A9836" s="5">
        <f>9828</f>
      </c>
      <c r="B9836" s="5" t="s">
        <v>9079</v>
      </c>
      <c r="C9836" s="5" t="s">
        <v>11</v>
      </c>
      <c r="D9836" s="5" t="s">
        <v>12</v>
      </c>
      <c r="E9836" s="5" t="s">
        <v>3962</v>
      </c>
    </row>
    <row r="9837" spans="1:5" x14ac:dyDescent="0.25">
      <c r="A9837" s="5">
        <f>9829</f>
      </c>
      <c r="B9837" s="5" t="s">
        <v>9080</v>
      </c>
      <c r="C9837" s="5" t="s">
        <v>11</v>
      </c>
      <c r="D9837" s="5" t="s">
        <v>12</v>
      </c>
      <c r="E9837" s="5" t="s">
        <v>3962</v>
      </c>
    </row>
    <row r="9838" spans="1:5" x14ac:dyDescent="0.25">
      <c r="A9838" s="5">
        <f>9830</f>
      </c>
      <c r="B9838" s="5" t="s">
        <v>9081</v>
      </c>
      <c r="C9838" s="5" t="s">
        <v>11</v>
      </c>
      <c r="D9838" s="5" t="s">
        <v>12</v>
      </c>
      <c r="E9838" s="5" t="s">
        <v>3962</v>
      </c>
    </row>
    <row r="9839" spans="1:5" x14ac:dyDescent="0.25">
      <c r="A9839" s="5">
        <f>9831</f>
      </c>
      <c r="B9839" s="5" t="s">
        <v>9082</v>
      </c>
      <c r="C9839" s="5" t="s">
        <v>11</v>
      </c>
      <c r="D9839" s="5" t="s">
        <v>12</v>
      </c>
      <c r="E9839" s="5" t="s">
        <v>3962</v>
      </c>
    </row>
    <row r="9840" spans="1:5" x14ac:dyDescent="0.25">
      <c r="A9840" s="5">
        <f>9832</f>
      </c>
      <c r="B9840" s="5" t="s">
        <v>9083</v>
      </c>
      <c r="C9840" s="5" t="s">
        <v>11</v>
      </c>
      <c r="D9840" s="5" t="s">
        <v>12</v>
      </c>
      <c r="E9840" s="5" t="s">
        <v>3962</v>
      </c>
    </row>
    <row r="9841" spans="1:5" x14ac:dyDescent="0.25">
      <c r="A9841" s="5">
        <f>9833</f>
      </c>
      <c r="B9841" s="5" t="s">
        <v>9084</v>
      </c>
      <c r="C9841" s="5" t="s">
        <v>11</v>
      </c>
      <c r="D9841" s="5" t="s">
        <v>12</v>
      </c>
      <c r="E9841" s="5" t="s">
        <v>3962</v>
      </c>
    </row>
    <row r="9842" spans="1:5" x14ac:dyDescent="0.25">
      <c r="A9842" s="5">
        <f>9834</f>
      </c>
      <c r="B9842" s="5" t="s">
        <v>9085</v>
      </c>
      <c r="C9842" s="5" t="s">
        <v>11</v>
      </c>
      <c r="D9842" s="5" t="s">
        <v>12</v>
      </c>
      <c r="E9842" s="5" t="s">
        <v>3962</v>
      </c>
    </row>
    <row r="9843" spans="1:5" x14ac:dyDescent="0.25">
      <c r="A9843" s="5">
        <f>9835</f>
      </c>
      <c r="B9843" s="5" t="s">
        <v>9086</v>
      </c>
      <c r="C9843" s="5" t="s">
        <v>11</v>
      </c>
      <c r="D9843" s="5" t="s">
        <v>12</v>
      </c>
      <c r="E9843" s="5" t="s">
        <v>3962</v>
      </c>
    </row>
    <row r="9844" spans="1:5" x14ac:dyDescent="0.25">
      <c r="A9844" s="5">
        <f>9836</f>
      </c>
      <c r="B9844" s="5" t="s">
        <v>9087</v>
      </c>
      <c r="C9844" s="5" t="s">
        <v>11</v>
      </c>
      <c r="D9844" s="5" t="s">
        <v>12</v>
      </c>
      <c r="E9844" s="5" t="s">
        <v>3962</v>
      </c>
    </row>
    <row r="9845" spans="1:5" x14ac:dyDescent="0.25">
      <c r="A9845" s="5">
        <f>9837</f>
      </c>
      <c r="B9845" s="5" t="s">
        <v>9088</v>
      </c>
      <c r="C9845" s="5" t="s">
        <v>11</v>
      </c>
      <c r="D9845" s="5" t="s">
        <v>12</v>
      </c>
      <c r="E9845" s="5" t="s">
        <v>3962</v>
      </c>
    </row>
    <row r="9846" spans="1:5" x14ac:dyDescent="0.25">
      <c r="A9846" s="5">
        <f>9838</f>
      </c>
      <c r="B9846" s="5" t="s">
        <v>9089</v>
      </c>
      <c r="C9846" s="5" t="s">
        <v>11</v>
      </c>
      <c r="D9846" s="5" t="s">
        <v>12</v>
      </c>
      <c r="E9846" s="5" t="s">
        <v>3962</v>
      </c>
    </row>
    <row r="9847" spans="1:5" x14ac:dyDescent="0.25">
      <c r="A9847" s="5">
        <f>9839</f>
      </c>
      <c r="B9847" s="5" t="s">
        <v>9090</v>
      </c>
      <c r="C9847" s="5" t="s">
        <v>11</v>
      </c>
      <c r="D9847" s="5" t="s">
        <v>12</v>
      </c>
      <c r="E9847" s="5" t="s">
        <v>3962</v>
      </c>
    </row>
    <row r="9848" spans="1:5" x14ac:dyDescent="0.25">
      <c r="A9848" s="5">
        <f>9840</f>
      </c>
      <c r="B9848" s="5" t="s">
        <v>9091</v>
      </c>
      <c r="C9848" s="5" t="s">
        <v>11</v>
      </c>
      <c r="D9848" s="5" t="s">
        <v>12</v>
      </c>
      <c r="E9848" s="5" t="s">
        <v>3962</v>
      </c>
    </row>
    <row r="9849" spans="1:5" x14ac:dyDescent="0.25">
      <c r="A9849" s="5">
        <f>9841</f>
      </c>
      <c r="B9849" s="5" t="s">
        <v>9092</v>
      </c>
      <c r="C9849" s="5" t="s">
        <v>11</v>
      </c>
      <c r="D9849" s="5" t="s">
        <v>12</v>
      </c>
      <c r="E9849" s="5" t="s">
        <v>3962</v>
      </c>
    </row>
    <row r="9850" spans="1:5" x14ac:dyDescent="0.25">
      <c r="A9850" s="5">
        <f>9842</f>
      </c>
      <c r="B9850" s="5" t="s">
        <v>9093</v>
      </c>
      <c r="C9850" s="5" t="s">
        <v>11</v>
      </c>
      <c r="D9850" s="5" t="s">
        <v>12</v>
      </c>
      <c r="E9850" s="5" t="s">
        <v>3962</v>
      </c>
    </row>
    <row r="9851" spans="1:5" x14ac:dyDescent="0.25">
      <c r="A9851" s="5">
        <f>9843</f>
      </c>
      <c r="B9851" s="5" t="s">
        <v>9094</v>
      </c>
      <c r="C9851" s="5" t="s">
        <v>11</v>
      </c>
      <c r="D9851" s="5" t="s">
        <v>12</v>
      </c>
      <c r="E9851" s="5" t="s">
        <v>3962</v>
      </c>
    </row>
    <row r="9852" spans="1:5" x14ac:dyDescent="0.25">
      <c r="A9852" s="5">
        <f>9844</f>
      </c>
      <c r="B9852" s="5" t="s">
        <v>9095</v>
      </c>
      <c r="C9852" s="5" t="s">
        <v>11</v>
      </c>
      <c r="D9852" s="5" t="s">
        <v>12</v>
      </c>
      <c r="E9852" s="5" t="s">
        <v>3962</v>
      </c>
    </row>
    <row r="9853" spans="1:5" x14ac:dyDescent="0.25">
      <c r="A9853" s="5">
        <f>9845</f>
      </c>
      <c r="B9853" s="5" t="s">
        <v>9096</v>
      </c>
      <c r="C9853" s="5" t="s">
        <v>11</v>
      </c>
      <c r="D9853" s="5" t="s">
        <v>12</v>
      </c>
      <c r="E9853" s="5" t="s">
        <v>3962</v>
      </c>
    </row>
    <row r="9854" spans="1:5" x14ac:dyDescent="0.25">
      <c r="A9854" s="5">
        <f>9846</f>
      </c>
      <c r="B9854" s="5" t="s">
        <v>9097</v>
      </c>
      <c r="C9854" s="5" t="s">
        <v>11</v>
      </c>
      <c r="D9854" s="5" t="s">
        <v>12</v>
      </c>
      <c r="E9854" s="5" t="s">
        <v>3962</v>
      </c>
    </row>
    <row r="9855" spans="1:5" x14ac:dyDescent="0.25">
      <c r="A9855" s="5">
        <f>9847</f>
      </c>
      <c r="B9855" s="5" t="s">
        <v>9098</v>
      </c>
      <c r="C9855" s="5" t="s">
        <v>11</v>
      </c>
      <c r="D9855" s="5" t="s">
        <v>12</v>
      </c>
      <c r="E9855" s="5" t="s">
        <v>3962</v>
      </c>
    </row>
    <row r="9856" spans="1:5" x14ac:dyDescent="0.25">
      <c r="A9856" s="5">
        <f>9848</f>
      </c>
      <c r="B9856" s="5" t="s">
        <v>9099</v>
      </c>
      <c r="C9856" s="5" t="s">
        <v>11</v>
      </c>
      <c r="D9856" s="5" t="s">
        <v>12</v>
      </c>
      <c r="E9856" s="5" t="s">
        <v>3962</v>
      </c>
    </row>
    <row r="9857" spans="1:5" x14ac:dyDescent="0.25">
      <c r="A9857" s="5">
        <f>9849</f>
      </c>
      <c r="B9857" s="5" t="s">
        <v>9100</v>
      </c>
      <c r="C9857" s="5" t="s">
        <v>11</v>
      </c>
      <c r="D9857" s="5" t="s">
        <v>12</v>
      </c>
      <c r="E9857" s="5" t="s">
        <v>3962</v>
      </c>
    </row>
    <row r="9858" spans="1:5" x14ac:dyDescent="0.25">
      <c r="A9858" s="5">
        <f>9850</f>
      </c>
      <c r="B9858" s="5" t="s">
        <v>9101</v>
      </c>
      <c r="C9858" s="5" t="s">
        <v>11</v>
      </c>
      <c r="D9858" s="5" t="s">
        <v>12</v>
      </c>
      <c r="E9858" s="5" t="s">
        <v>3962</v>
      </c>
    </row>
    <row r="9859" spans="1:5" x14ac:dyDescent="0.25">
      <c r="A9859" s="5">
        <f>9851</f>
      </c>
      <c r="B9859" s="5" t="s">
        <v>9102</v>
      </c>
      <c r="C9859" s="5" t="s">
        <v>11</v>
      </c>
      <c r="D9859" s="5" t="s">
        <v>12</v>
      </c>
      <c r="E9859" s="5" t="s">
        <v>3962</v>
      </c>
    </row>
    <row r="9860" spans="1:5" x14ac:dyDescent="0.25">
      <c r="A9860" s="5">
        <f>9852</f>
      </c>
      <c r="B9860" s="5" t="s">
        <v>9103</v>
      </c>
      <c r="C9860" s="5" t="s">
        <v>11</v>
      </c>
      <c r="D9860" s="5" t="s">
        <v>12</v>
      </c>
      <c r="E9860" s="5" t="s">
        <v>3962</v>
      </c>
    </row>
    <row r="9861" spans="1:5" x14ac:dyDescent="0.25">
      <c r="A9861" s="5">
        <f>9853</f>
      </c>
      <c r="B9861" s="5" t="s">
        <v>9104</v>
      </c>
      <c r="C9861" s="5" t="s">
        <v>11</v>
      </c>
      <c r="D9861" s="5" t="s">
        <v>12</v>
      </c>
      <c r="E9861" s="5" t="s">
        <v>3962</v>
      </c>
    </row>
    <row r="9862" spans="1:5" x14ac:dyDescent="0.25">
      <c r="A9862" s="5">
        <f>9854</f>
      </c>
      <c r="B9862" s="5" t="s">
        <v>9105</v>
      </c>
      <c r="C9862" s="5" t="s">
        <v>11</v>
      </c>
      <c r="D9862" s="5" t="s">
        <v>12</v>
      </c>
      <c r="E9862" s="5" t="s">
        <v>3962</v>
      </c>
    </row>
    <row r="9863" spans="1:5" x14ac:dyDescent="0.25">
      <c r="A9863" s="5">
        <f>9855</f>
      </c>
      <c r="B9863" s="5" t="s">
        <v>9106</v>
      </c>
      <c r="C9863" s="5" t="s">
        <v>11</v>
      </c>
      <c r="D9863" s="5" t="s">
        <v>12</v>
      </c>
      <c r="E9863" s="5" t="s">
        <v>3962</v>
      </c>
    </row>
    <row r="9864" spans="1:5" x14ac:dyDescent="0.25">
      <c r="A9864" s="5">
        <f>9856</f>
      </c>
      <c r="B9864" s="5" t="s">
        <v>9107</v>
      </c>
      <c r="C9864" s="5" t="s">
        <v>11</v>
      </c>
      <c r="D9864" s="5" t="s">
        <v>12</v>
      </c>
      <c r="E9864" s="5" t="s">
        <v>3962</v>
      </c>
    </row>
    <row r="9865" spans="1:5" x14ac:dyDescent="0.25">
      <c r="A9865" s="5">
        <f>9857</f>
      </c>
      <c r="B9865" s="5" t="s">
        <v>9108</v>
      </c>
      <c r="C9865" s="5" t="s">
        <v>11</v>
      </c>
      <c r="D9865" s="5" t="s">
        <v>12</v>
      </c>
      <c r="E9865" s="5" t="s">
        <v>3962</v>
      </c>
    </row>
    <row r="9866" spans="1:5" x14ac:dyDescent="0.25">
      <c r="A9866" s="5">
        <f>9858</f>
      </c>
      <c r="B9866" s="5" t="s">
        <v>9109</v>
      </c>
      <c r="C9866" s="5" t="s">
        <v>11</v>
      </c>
      <c r="D9866" s="5" t="s">
        <v>12</v>
      </c>
      <c r="E9866" s="5" t="s">
        <v>3962</v>
      </c>
    </row>
    <row r="9867" spans="1:5" x14ac:dyDescent="0.25">
      <c r="A9867" s="5">
        <f>9859</f>
      </c>
      <c r="B9867" s="5" t="s">
        <v>9110</v>
      </c>
      <c r="C9867" s="5" t="s">
        <v>11</v>
      </c>
      <c r="D9867" s="5" t="s">
        <v>12</v>
      </c>
      <c r="E9867" s="5" t="s">
        <v>3962</v>
      </c>
    </row>
    <row r="9868" spans="1:5" x14ac:dyDescent="0.25">
      <c r="A9868" s="5">
        <f>9860</f>
      </c>
      <c r="B9868" s="5" t="s">
        <v>9111</v>
      </c>
      <c r="C9868" s="5" t="s">
        <v>11</v>
      </c>
      <c r="D9868" s="5" t="s">
        <v>12</v>
      </c>
      <c r="E9868" s="5" t="s">
        <v>3962</v>
      </c>
    </row>
    <row r="9869" spans="1:5" x14ac:dyDescent="0.25">
      <c r="A9869" s="5">
        <f>9861</f>
      </c>
      <c r="B9869" s="5" t="s">
        <v>9112</v>
      </c>
      <c r="C9869" s="5" t="s">
        <v>11</v>
      </c>
      <c r="D9869" s="5" t="s">
        <v>12</v>
      </c>
      <c r="E9869" s="5" t="s">
        <v>3962</v>
      </c>
    </row>
    <row r="9870" spans="1:5" x14ac:dyDescent="0.25">
      <c r="A9870" s="5">
        <f>9862</f>
      </c>
      <c r="B9870" s="5" t="s">
        <v>9113</v>
      </c>
      <c r="C9870" s="5" t="s">
        <v>11</v>
      </c>
      <c r="D9870" s="5" t="s">
        <v>12</v>
      </c>
      <c r="E9870" s="5" t="s">
        <v>3962</v>
      </c>
    </row>
    <row r="9871" spans="1:5" x14ac:dyDescent="0.25">
      <c r="A9871" s="5">
        <f>9863</f>
      </c>
      <c r="B9871" s="5" t="s">
        <v>9114</v>
      </c>
      <c r="C9871" s="5" t="s">
        <v>11</v>
      </c>
      <c r="D9871" s="5" t="s">
        <v>12</v>
      </c>
      <c r="E9871" s="5" t="s">
        <v>3962</v>
      </c>
    </row>
    <row r="9872" spans="1:5" x14ac:dyDescent="0.25">
      <c r="A9872" s="5">
        <f>9864</f>
      </c>
      <c r="B9872" s="5" t="s">
        <v>9115</v>
      </c>
      <c r="C9872" s="5" t="s">
        <v>11</v>
      </c>
      <c r="D9872" s="5" t="s">
        <v>12</v>
      </c>
      <c r="E9872" s="5" t="s">
        <v>3962</v>
      </c>
    </row>
    <row r="9873" spans="1:5" x14ac:dyDescent="0.25">
      <c r="A9873" s="5">
        <f>9865</f>
      </c>
      <c r="B9873" s="5" t="s">
        <v>9116</v>
      </c>
      <c r="C9873" s="5" t="s">
        <v>11</v>
      </c>
      <c r="D9873" s="5" t="s">
        <v>12</v>
      </c>
      <c r="E9873" s="5" t="s">
        <v>3962</v>
      </c>
    </row>
    <row r="9874" spans="1:5" x14ac:dyDescent="0.25">
      <c r="A9874" s="5">
        <f>9866</f>
      </c>
      <c r="B9874" s="5" t="s">
        <v>9117</v>
      </c>
      <c r="C9874" s="5" t="s">
        <v>11</v>
      </c>
      <c r="D9874" s="5" t="s">
        <v>12</v>
      </c>
      <c r="E9874" s="5" t="s">
        <v>3962</v>
      </c>
    </row>
    <row r="9875" spans="1:5" x14ac:dyDescent="0.25">
      <c r="A9875" s="5">
        <f>9867</f>
      </c>
      <c r="B9875" s="5" t="s">
        <v>9118</v>
      </c>
      <c r="C9875" s="5" t="s">
        <v>11</v>
      </c>
      <c r="D9875" s="5" t="s">
        <v>12</v>
      </c>
      <c r="E9875" s="5" t="s">
        <v>3962</v>
      </c>
    </row>
    <row r="9876" spans="1:5" x14ac:dyDescent="0.25">
      <c r="A9876" s="5">
        <f>9868</f>
      </c>
      <c r="B9876" s="5" t="s">
        <v>9119</v>
      </c>
      <c r="C9876" s="5" t="s">
        <v>11</v>
      </c>
      <c r="D9876" s="5" t="s">
        <v>12</v>
      </c>
      <c r="E9876" s="5" t="s">
        <v>3962</v>
      </c>
    </row>
    <row r="9877" spans="1:5" x14ac:dyDescent="0.25">
      <c r="A9877" s="5">
        <f>9869</f>
      </c>
      <c r="B9877" s="5" t="s">
        <v>9120</v>
      </c>
      <c r="C9877" s="5" t="s">
        <v>11</v>
      </c>
      <c r="D9877" s="5" t="s">
        <v>12</v>
      </c>
      <c r="E9877" s="5" t="s">
        <v>3962</v>
      </c>
    </row>
    <row r="9878" spans="1:5" x14ac:dyDescent="0.25">
      <c r="A9878" s="5">
        <f>9870</f>
      </c>
      <c r="B9878" s="5" t="s">
        <v>9121</v>
      </c>
      <c r="C9878" s="5" t="s">
        <v>11</v>
      </c>
      <c r="D9878" s="5" t="s">
        <v>12</v>
      </c>
      <c r="E9878" s="5" t="s">
        <v>3962</v>
      </c>
    </row>
    <row r="9879" spans="1:5" x14ac:dyDescent="0.25">
      <c r="A9879" s="5">
        <f>9871</f>
      </c>
      <c r="B9879" s="5" t="s">
        <v>9122</v>
      </c>
      <c r="C9879" s="5" t="s">
        <v>11</v>
      </c>
      <c r="D9879" s="5" t="s">
        <v>12</v>
      </c>
      <c r="E9879" s="5" t="s">
        <v>3962</v>
      </c>
    </row>
    <row r="9880" spans="1:5" x14ac:dyDescent="0.25">
      <c r="A9880" s="5">
        <f>9872</f>
      </c>
      <c r="B9880" s="5" t="s">
        <v>9123</v>
      </c>
      <c r="C9880" s="5" t="s">
        <v>11</v>
      </c>
      <c r="D9880" s="5" t="s">
        <v>12</v>
      </c>
      <c r="E9880" s="5" t="s">
        <v>3962</v>
      </c>
    </row>
    <row r="9881" spans="1:5" x14ac:dyDescent="0.25">
      <c r="A9881" s="5">
        <f>9873</f>
      </c>
      <c r="B9881" s="5" t="s">
        <v>9124</v>
      </c>
      <c r="C9881" s="5" t="s">
        <v>11</v>
      </c>
      <c r="D9881" s="5" t="s">
        <v>12</v>
      </c>
      <c r="E9881" s="5" t="s">
        <v>3962</v>
      </c>
    </row>
    <row r="9882" spans="1:5" x14ac:dyDescent="0.25">
      <c r="A9882" s="5">
        <f>9874</f>
      </c>
      <c r="B9882" s="5" t="s">
        <v>9125</v>
      </c>
      <c r="C9882" s="5" t="s">
        <v>11</v>
      </c>
      <c r="D9882" s="5" t="s">
        <v>12</v>
      </c>
      <c r="E9882" s="5" t="s">
        <v>3962</v>
      </c>
    </row>
    <row r="9883" spans="1:5" x14ac:dyDescent="0.25">
      <c r="A9883" s="5">
        <f>9875</f>
      </c>
      <c r="B9883" s="5" t="s">
        <v>9126</v>
      </c>
      <c r="C9883" s="5" t="s">
        <v>11</v>
      </c>
      <c r="D9883" s="5" t="s">
        <v>12</v>
      </c>
      <c r="E9883" s="5" t="s">
        <v>3962</v>
      </c>
    </row>
    <row r="9884" spans="1:5" x14ac:dyDescent="0.25">
      <c r="A9884" s="5">
        <f>9876</f>
      </c>
      <c r="B9884" s="5" t="s">
        <v>9127</v>
      </c>
      <c r="C9884" s="5" t="s">
        <v>11</v>
      </c>
      <c r="D9884" s="5" t="s">
        <v>12</v>
      </c>
      <c r="E9884" s="5" t="s">
        <v>3962</v>
      </c>
    </row>
    <row r="9885" spans="1:5" x14ac:dyDescent="0.25">
      <c r="A9885" s="5">
        <f>9877</f>
      </c>
      <c r="B9885" s="5" t="s">
        <v>9128</v>
      </c>
      <c r="C9885" s="5" t="s">
        <v>11</v>
      </c>
      <c r="D9885" s="5" t="s">
        <v>12</v>
      </c>
      <c r="E9885" s="5" t="s">
        <v>3962</v>
      </c>
    </row>
    <row r="9886" spans="1:5" x14ac:dyDescent="0.25">
      <c r="A9886" s="5">
        <f>9878</f>
      </c>
      <c r="B9886" s="5" t="s">
        <v>9129</v>
      </c>
      <c r="C9886" s="5" t="s">
        <v>11</v>
      </c>
      <c r="D9886" s="5" t="s">
        <v>12</v>
      </c>
      <c r="E9886" s="5" t="s">
        <v>3962</v>
      </c>
    </row>
    <row r="9887" spans="1:5" x14ac:dyDescent="0.25">
      <c r="A9887" s="5">
        <f>9879</f>
      </c>
      <c r="B9887" s="5" t="s">
        <v>9130</v>
      </c>
      <c r="C9887" s="5" t="s">
        <v>11</v>
      </c>
      <c r="D9887" s="5" t="s">
        <v>12</v>
      </c>
      <c r="E9887" s="5" t="s">
        <v>3962</v>
      </c>
    </row>
    <row r="9888" spans="1:5" x14ac:dyDescent="0.25">
      <c r="A9888" s="5">
        <f>9880</f>
      </c>
      <c r="B9888" s="5" t="s">
        <v>9131</v>
      </c>
      <c r="C9888" s="5" t="s">
        <v>11</v>
      </c>
      <c r="D9888" s="5" t="s">
        <v>12</v>
      </c>
      <c r="E9888" s="5" t="s">
        <v>3962</v>
      </c>
    </row>
    <row r="9889" spans="1:5" x14ac:dyDescent="0.25">
      <c r="A9889" s="5">
        <f>9881</f>
      </c>
      <c r="B9889" s="5" t="s">
        <v>9132</v>
      </c>
      <c r="C9889" s="5" t="s">
        <v>11</v>
      </c>
      <c r="D9889" s="5" t="s">
        <v>12</v>
      </c>
      <c r="E9889" s="5" t="s">
        <v>3962</v>
      </c>
    </row>
    <row r="9890" spans="1:5" x14ac:dyDescent="0.25">
      <c r="A9890" s="5">
        <f>9882</f>
      </c>
      <c r="B9890" s="5" t="s">
        <v>9133</v>
      </c>
      <c r="C9890" s="5" t="s">
        <v>11</v>
      </c>
      <c r="D9890" s="5" t="s">
        <v>12</v>
      </c>
      <c r="E9890" s="5" t="s">
        <v>3962</v>
      </c>
    </row>
    <row r="9891" spans="1:5" x14ac:dyDescent="0.25">
      <c r="A9891" s="5">
        <f>9883</f>
      </c>
      <c r="B9891" s="5" t="s">
        <v>9134</v>
      </c>
      <c r="C9891" s="5" t="s">
        <v>11</v>
      </c>
      <c r="D9891" s="5" t="s">
        <v>12</v>
      </c>
      <c r="E9891" s="5" t="s">
        <v>3962</v>
      </c>
    </row>
    <row r="9892" spans="1:5" x14ac:dyDescent="0.25">
      <c r="A9892" s="5">
        <f>9884</f>
      </c>
      <c r="B9892" s="5" t="s">
        <v>9135</v>
      </c>
      <c r="C9892" s="5" t="s">
        <v>11</v>
      </c>
      <c r="D9892" s="5" t="s">
        <v>12</v>
      </c>
      <c r="E9892" s="5" t="s">
        <v>3962</v>
      </c>
    </row>
    <row r="9893" spans="1:5" x14ac:dyDescent="0.25">
      <c r="A9893" s="5">
        <f>9885</f>
      </c>
      <c r="B9893" s="5" t="s">
        <v>9136</v>
      </c>
      <c r="C9893" s="5" t="s">
        <v>11</v>
      </c>
      <c r="D9893" s="5" t="s">
        <v>12</v>
      </c>
      <c r="E9893" s="5" t="s">
        <v>3962</v>
      </c>
    </row>
    <row r="9894" spans="1:5" x14ac:dyDescent="0.25">
      <c r="A9894" s="5">
        <f>9886</f>
      </c>
      <c r="B9894" s="5" t="s">
        <v>9137</v>
      </c>
      <c r="C9894" s="5" t="s">
        <v>11</v>
      </c>
      <c r="D9894" s="5" t="s">
        <v>12</v>
      </c>
      <c r="E9894" s="5" t="s">
        <v>3962</v>
      </c>
    </row>
    <row r="9895" spans="1:5" x14ac:dyDescent="0.25">
      <c r="A9895" s="5">
        <f>9887</f>
      </c>
      <c r="B9895" s="5" t="s">
        <v>9138</v>
      </c>
      <c r="C9895" s="5" t="s">
        <v>11</v>
      </c>
      <c r="D9895" s="5" t="s">
        <v>12</v>
      </c>
      <c r="E9895" s="5" t="s">
        <v>3962</v>
      </c>
    </row>
    <row r="9896" spans="1:5" x14ac:dyDescent="0.25">
      <c r="A9896" s="5">
        <f>9888</f>
      </c>
      <c r="B9896" s="5" t="s">
        <v>9139</v>
      </c>
      <c r="C9896" s="5" t="s">
        <v>11</v>
      </c>
      <c r="D9896" s="5" t="s">
        <v>12</v>
      </c>
      <c r="E9896" s="5" t="s">
        <v>3962</v>
      </c>
    </row>
    <row r="9897" spans="1:5" x14ac:dyDescent="0.25">
      <c r="A9897" s="5">
        <f>9889</f>
      </c>
      <c r="B9897" s="5" t="s">
        <v>9140</v>
      </c>
      <c r="C9897" s="5" t="s">
        <v>11</v>
      </c>
      <c r="D9897" s="5" t="s">
        <v>12</v>
      </c>
      <c r="E9897" s="5" t="s">
        <v>3962</v>
      </c>
    </row>
    <row r="9898" spans="1:5" x14ac:dyDescent="0.25">
      <c r="A9898" s="5">
        <f>9890</f>
      </c>
      <c r="B9898" s="5" t="s">
        <v>9141</v>
      </c>
      <c r="C9898" s="5" t="s">
        <v>11</v>
      </c>
      <c r="D9898" s="5" t="s">
        <v>12</v>
      </c>
      <c r="E9898" s="5" t="s">
        <v>3962</v>
      </c>
    </row>
    <row r="9899" spans="1:5" x14ac:dyDescent="0.25">
      <c r="A9899" s="5">
        <f>9891</f>
      </c>
      <c r="B9899" s="5" t="s">
        <v>9142</v>
      </c>
      <c r="C9899" s="5" t="s">
        <v>11</v>
      </c>
      <c r="D9899" s="5" t="s">
        <v>12</v>
      </c>
      <c r="E9899" s="5" t="s">
        <v>3962</v>
      </c>
    </row>
    <row r="9900" spans="1:5" x14ac:dyDescent="0.25">
      <c r="A9900" s="5">
        <f>9892</f>
      </c>
      <c r="B9900" s="5" t="s">
        <v>9143</v>
      </c>
      <c r="C9900" s="5" t="s">
        <v>11</v>
      </c>
      <c r="D9900" s="5" t="s">
        <v>12</v>
      </c>
      <c r="E9900" s="5" t="s">
        <v>3962</v>
      </c>
    </row>
    <row r="9901" spans="1:5" x14ac:dyDescent="0.25">
      <c r="A9901" s="5">
        <f>9893</f>
      </c>
      <c r="B9901" s="5" t="s">
        <v>9144</v>
      </c>
      <c r="C9901" s="5" t="s">
        <v>11</v>
      </c>
      <c r="D9901" s="5" t="s">
        <v>12</v>
      </c>
      <c r="E9901" s="5" t="s">
        <v>3962</v>
      </c>
    </row>
    <row r="9902" spans="1:5" x14ac:dyDescent="0.25">
      <c r="A9902" s="5">
        <f>9894</f>
      </c>
      <c r="B9902" s="5" t="s">
        <v>9145</v>
      </c>
      <c r="C9902" s="5" t="s">
        <v>11</v>
      </c>
      <c r="D9902" s="5" t="s">
        <v>12</v>
      </c>
      <c r="E9902" s="5" t="s">
        <v>3962</v>
      </c>
    </row>
    <row r="9903" spans="1:5" x14ac:dyDescent="0.25">
      <c r="A9903" s="5">
        <f>9895</f>
      </c>
      <c r="B9903" s="5" t="s">
        <v>9146</v>
      </c>
      <c r="C9903" s="5" t="s">
        <v>11</v>
      </c>
      <c r="D9903" s="5" t="s">
        <v>12</v>
      </c>
      <c r="E9903" s="5" t="s">
        <v>3962</v>
      </c>
    </row>
    <row r="9904" spans="1:5" x14ac:dyDescent="0.25">
      <c r="A9904" s="5">
        <f>9896</f>
      </c>
      <c r="B9904" s="5" t="s">
        <v>9147</v>
      </c>
      <c r="C9904" s="5" t="s">
        <v>11</v>
      </c>
      <c r="D9904" s="5" t="s">
        <v>12</v>
      </c>
      <c r="E9904" s="5" t="s">
        <v>3962</v>
      </c>
    </row>
    <row r="9905" spans="1:5" x14ac:dyDescent="0.25">
      <c r="A9905" s="5">
        <f>9897</f>
      </c>
      <c r="B9905" s="5" t="s">
        <v>9148</v>
      </c>
      <c r="C9905" s="5" t="s">
        <v>11</v>
      </c>
      <c r="D9905" s="5" t="s">
        <v>12</v>
      </c>
      <c r="E9905" s="5" t="s">
        <v>3962</v>
      </c>
    </row>
    <row r="9906" spans="1:5" x14ac:dyDescent="0.25">
      <c r="A9906" s="5">
        <f>9898</f>
      </c>
      <c r="B9906" s="5" t="s">
        <v>9149</v>
      </c>
      <c r="C9906" s="5" t="s">
        <v>11</v>
      </c>
      <c r="D9906" s="5" t="s">
        <v>12</v>
      </c>
      <c r="E9906" s="5" t="s">
        <v>3962</v>
      </c>
    </row>
    <row r="9907" spans="1:5" x14ac:dyDescent="0.25">
      <c r="A9907" s="5">
        <f>9899</f>
      </c>
      <c r="B9907" s="5" t="s">
        <v>9150</v>
      </c>
      <c r="C9907" s="5" t="s">
        <v>11</v>
      </c>
      <c r="D9907" s="5" t="s">
        <v>12</v>
      </c>
      <c r="E9907" s="5" t="s">
        <v>3962</v>
      </c>
    </row>
    <row r="9908" spans="1:5" x14ac:dyDescent="0.25">
      <c r="A9908" s="5">
        <f>9900</f>
      </c>
      <c r="B9908" s="5" t="s">
        <v>9151</v>
      </c>
      <c r="C9908" s="5" t="s">
        <v>11</v>
      </c>
      <c r="D9908" s="5" t="s">
        <v>12</v>
      </c>
      <c r="E9908" s="5" t="s">
        <v>3962</v>
      </c>
    </row>
    <row r="9909" spans="1:5" x14ac:dyDescent="0.25">
      <c r="A9909" s="5">
        <f>9901</f>
      </c>
      <c r="B9909" s="5" t="s">
        <v>9152</v>
      </c>
      <c r="C9909" s="5" t="s">
        <v>11</v>
      </c>
      <c r="D9909" s="5" t="s">
        <v>12</v>
      </c>
      <c r="E9909" s="5" t="s">
        <v>3962</v>
      </c>
    </row>
    <row r="9910" spans="1:5" x14ac:dyDescent="0.25">
      <c r="A9910" s="5">
        <f>9902</f>
      </c>
      <c r="B9910" s="5" t="s">
        <v>9153</v>
      </c>
      <c r="C9910" s="5" t="s">
        <v>11</v>
      </c>
      <c r="D9910" s="5" t="s">
        <v>12</v>
      </c>
      <c r="E9910" s="5" t="s">
        <v>3962</v>
      </c>
    </row>
    <row r="9911" spans="1:5" x14ac:dyDescent="0.25">
      <c r="A9911" s="5">
        <f>9903</f>
      </c>
      <c r="B9911" s="5" t="s">
        <v>9154</v>
      </c>
      <c r="C9911" s="5" t="s">
        <v>11</v>
      </c>
      <c r="D9911" s="5" t="s">
        <v>12</v>
      </c>
      <c r="E9911" s="5" t="s">
        <v>3962</v>
      </c>
    </row>
    <row r="9912" spans="1:5" x14ac:dyDescent="0.25">
      <c r="A9912" s="5">
        <f>9904</f>
      </c>
      <c r="B9912" s="5" t="s">
        <v>9155</v>
      </c>
      <c r="C9912" s="5" t="s">
        <v>11</v>
      </c>
      <c r="D9912" s="5" t="s">
        <v>12</v>
      </c>
      <c r="E9912" s="5" t="s">
        <v>3962</v>
      </c>
    </row>
    <row r="9913" spans="1:5" x14ac:dyDescent="0.25">
      <c r="A9913" s="5">
        <f>9905</f>
      </c>
      <c r="B9913" s="5" t="s">
        <v>9156</v>
      </c>
      <c r="C9913" s="5" t="s">
        <v>11</v>
      </c>
      <c r="D9913" s="5" t="s">
        <v>12</v>
      </c>
      <c r="E9913" s="5" t="s">
        <v>3962</v>
      </c>
    </row>
    <row r="9914" spans="1:5" x14ac:dyDescent="0.25">
      <c r="A9914" s="5">
        <f>9906</f>
      </c>
      <c r="B9914" s="5" t="s">
        <v>9157</v>
      </c>
      <c r="C9914" s="5" t="s">
        <v>11</v>
      </c>
      <c r="D9914" s="5" t="s">
        <v>12</v>
      </c>
      <c r="E9914" s="5" t="s">
        <v>3962</v>
      </c>
    </row>
    <row r="9915" spans="1:5" x14ac:dyDescent="0.25">
      <c r="A9915" s="5">
        <f>9907</f>
      </c>
      <c r="B9915" s="5" t="s">
        <v>9158</v>
      </c>
      <c r="C9915" s="5" t="s">
        <v>11</v>
      </c>
      <c r="D9915" s="5" t="s">
        <v>12</v>
      </c>
      <c r="E9915" s="5" t="s">
        <v>3962</v>
      </c>
    </row>
    <row r="9916" spans="1:5" x14ac:dyDescent="0.25">
      <c r="A9916" s="5">
        <f>9908</f>
      </c>
      <c r="B9916" s="5" t="s">
        <v>9159</v>
      </c>
      <c r="C9916" s="5" t="s">
        <v>11</v>
      </c>
      <c r="D9916" s="5" t="s">
        <v>12</v>
      </c>
      <c r="E9916" s="5" t="s">
        <v>3962</v>
      </c>
    </row>
    <row r="9917" spans="1:5" x14ac:dyDescent="0.25">
      <c r="A9917" s="5">
        <f>9909</f>
      </c>
      <c r="B9917" s="5" t="s">
        <v>9160</v>
      </c>
      <c r="C9917" s="5" t="s">
        <v>11</v>
      </c>
      <c r="D9917" s="5" t="s">
        <v>12</v>
      </c>
      <c r="E9917" s="5" t="s">
        <v>3962</v>
      </c>
    </row>
    <row r="9918" spans="1:5" x14ac:dyDescent="0.25">
      <c r="A9918" s="5">
        <f>9910</f>
      </c>
      <c r="B9918" s="5" t="s">
        <v>9161</v>
      </c>
      <c r="C9918" s="5" t="s">
        <v>11</v>
      </c>
      <c r="D9918" s="5" t="s">
        <v>12</v>
      </c>
      <c r="E9918" s="5" t="s">
        <v>3962</v>
      </c>
    </row>
    <row r="9919" spans="1:5" x14ac:dyDescent="0.25">
      <c r="A9919" s="5">
        <f>9911</f>
      </c>
      <c r="B9919" s="5" t="s">
        <v>9162</v>
      </c>
      <c r="C9919" s="5" t="s">
        <v>11</v>
      </c>
      <c r="D9919" s="5" t="s">
        <v>12</v>
      </c>
      <c r="E9919" s="5" t="s">
        <v>3962</v>
      </c>
    </row>
    <row r="9920" spans="1:5" x14ac:dyDescent="0.25">
      <c r="A9920" s="5">
        <f>9912</f>
      </c>
      <c r="B9920" s="5" t="s">
        <v>9163</v>
      </c>
      <c r="C9920" s="5" t="s">
        <v>11</v>
      </c>
      <c r="D9920" s="5" t="s">
        <v>12</v>
      </c>
      <c r="E9920" s="5" t="s">
        <v>3962</v>
      </c>
    </row>
    <row r="9921" spans="1:5" x14ac:dyDescent="0.25">
      <c r="A9921" s="5">
        <f>9913</f>
      </c>
      <c r="B9921" s="5" t="s">
        <v>9164</v>
      </c>
      <c r="C9921" s="5" t="s">
        <v>11</v>
      </c>
      <c r="D9921" s="5" t="s">
        <v>12</v>
      </c>
      <c r="E9921" s="5" t="s">
        <v>3962</v>
      </c>
    </row>
    <row r="9922" spans="1:5" x14ac:dyDescent="0.25">
      <c r="A9922" s="5">
        <f>9914</f>
      </c>
      <c r="B9922" s="5" t="s">
        <v>9165</v>
      </c>
      <c r="C9922" s="5" t="s">
        <v>11</v>
      </c>
      <c r="D9922" s="5" t="s">
        <v>12</v>
      </c>
      <c r="E9922" s="5" t="s">
        <v>3962</v>
      </c>
    </row>
    <row r="9923" spans="1:5" x14ac:dyDescent="0.25">
      <c r="A9923" s="5">
        <f>9915</f>
      </c>
      <c r="B9923" s="5" t="s">
        <v>9166</v>
      </c>
      <c r="C9923" s="5" t="s">
        <v>11</v>
      </c>
      <c r="D9923" s="5" t="s">
        <v>12</v>
      </c>
      <c r="E9923" s="5" t="s">
        <v>3962</v>
      </c>
    </row>
    <row r="9924" spans="1:5" x14ac:dyDescent="0.25">
      <c r="A9924" s="5">
        <f>9916</f>
      </c>
      <c r="B9924" s="5" t="s">
        <v>9167</v>
      </c>
      <c r="C9924" s="5" t="s">
        <v>11</v>
      </c>
      <c r="D9924" s="5" t="s">
        <v>12</v>
      </c>
      <c r="E9924" s="5" t="s">
        <v>3962</v>
      </c>
    </row>
    <row r="9925" spans="1:5" x14ac:dyDescent="0.25">
      <c r="A9925" s="5">
        <f>9917</f>
      </c>
      <c r="B9925" s="5" t="s">
        <v>9168</v>
      </c>
      <c r="C9925" s="5" t="s">
        <v>11</v>
      </c>
      <c r="D9925" s="5" t="s">
        <v>12</v>
      </c>
      <c r="E9925" s="5" t="s">
        <v>3962</v>
      </c>
    </row>
    <row r="9926" spans="1:5" x14ac:dyDescent="0.25">
      <c r="A9926" s="5">
        <f>9918</f>
      </c>
      <c r="B9926" s="5" t="s">
        <v>9169</v>
      </c>
      <c r="C9926" s="5" t="s">
        <v>11</v>
      </c>
      <c r="D9926" s="5" t="s">
        <v>12</v>
      </c>
      <c r="E9926" s="5" t="s">
        <v>3962</v>
      </c>
    </row>
    <row r="9927" spans="1:5" x14ac:dyDescent="0.25">
      <c r="A9927" s="5">
        <f>9919</f>
      </c>
      <c r="B9927" s="5" t="s">
        <v>9170</v>
      </c>
      <c r="C9927" s="5" t="s">
        <v>11</v>
      </c>
      <c r="D9927" s="5" t="s">
        <v>12</v>
      </c>
      <c r="E9927" s="5" t="s">
        <v>3962</v>
      </c>
    </row>
    <row r="9928" spans="1:5" x14ac:dyDescent="0.25">
      <c r="A9928" s="5">
        <f>9920</f>
      </c>
      <c r="B9928" s="5" t="s">
        <v>9171</v>
      </c>
      <c r="C9928" s="5" t="s">
        <v>11</v>
      </c>
      <c r="D9928" s="5" t="s">
        <v>12</v>
      </c>
      <c r="E9928" s="5" t="s">
        <v>3962</v>
      </c>
    </row>
    <row r="9929" spans="1:5" x14ac:dyDescent="0.25">
      <c r="A9929" s="5">
        <f>9921</f>
      </c>
      <c r="B9929" s="5" t="s">
        <v>9172</v>
      </c>
      <c r="C9929" s="5" t="s">
        <v>11</v>
      </c>
      <c r="D9929" s="5" t="s">
        <v>12</v>
      </c>
      <c r="E9929" s="5" t="s">
        <v>3962</v>
      </c>
    </row>
    <row r="9930" spans="1:5" x14ac:dyDescent="0.25">
      <c r="A9930" s="5">
        <f>9922</f>
      </c>
      <c r="B9930" s="5" t="s">
        <v>9173</v>
      </c>
      <c r="C9930" s="5" t="s">
        <v>11</v>
      </c>
      <c r="D9930" s="5" t="s">
        <v>12</v>
      </c>
      <c r="E9930" s="5" t="s">
        <v>3962</v>
      </c>
    </row>
    <row r="9931" spans="1:5" x14ac:dyDescent="0.25">
      <c r="A9931" s="5">
        <f>9923</f>
      </c>
      <c r="B9931" s="5" t="s">
        <v>9174</v>
      </c>
      <c r="C9931" s="5" t="s">
        <v>11</v>
      </c>
      <c r="D9931" s="5" t="s">
        <v>12</v>
      </c>
      <c r="E9931" s="5" t="s">
        <v>3962</v>
      </c>
    </row>
    <row r="9932" spans="1:5" x14ac:dyDescent="0.25">
      <c r="A9932" s="5">
        <f>9924</f>
      </c>
      <c r="B9932" s="5" t="s">
        <v>9175</v>
      </c>
      <c r="C9932" s="5" t="s">
        <v>11</v>
      </c>
      <c r="D9932" s="5" t="s">
        <v>12</v>
      </c>
      <c r="E9932" s="5" t="s">
        <v>3962</v>
      </c>
    </row>
    <row r="9933" spans="1:5" x14ac:dyDescent="0.25">
      <c r="A9933" s="5">
        <f>9925</f>
      </c>
      <c r="B9933" s="5" t="s">
        <v>9176</v>
      </c>
      <c r="C9933" s="5" t="s">
        <v>11</v>
      </c>
      <c r="D9933" s="5" t="s">
        <v>12</v>
      </c>
      <c r="E9933" s="5" t="s">
        <v>3962</v>
      </c>
    </row>
    <row r="9934" spans="1:5" x14ac:dyDescent="0.25">
      <c r="A9934" s="5">
        <f>9926</f>
      </c>
      <c r="B9934" s="5" t="s">
        <v>9177</v>
      </c>
      <c r="C9934" s="5" t="s">
        <v>11</v>
      </c>
      <c r="D9934" s="5" t="s">
        <v>12</v>
      </c>
      <c r="E9934" s="5" t="s">
        <v>3962</v>
      </c>
    </row>
    <row r="9935" spans="1:5" x14ac:dyDescent="0.25">
      <c r="A9935" s="5">
        <f>9927</f>
      </c>
      <c r="B9935" s="5" t="s">
        <v>9178</v>
      </c>
      <c r="C9935" s="5" t="s">
        <v>11</v>
      </c>
      <c r="D9935" s="5" t="s">
        <v>12</v>
      </c>
      <c r="E9935" s="5" t="s">
        <v>3962</v>
      </c>
    </row>
    <row r="9936" spans="1:5" x14ac:dyDescent="0.25">
      <c r="A9936" s="5">
        <f>9928</f>
      </c>
      <c r="B9936" s="5" t="s">
        <v>9179</v>
      </c>
      <c r="C9936" s="5" t="s">
        <v>11</v>
      </c>
      <c r="D9936" s="5" t="s">
        <v>12</v>
      </c>
      <c r="E9936" s="5" t="s">
        <v>3962</v>
      </c>
    </row>
    <row r="9937" spans="1:5" x14ac:dyDescent="0.25">
      <c r="A9937" s="5">
        <f>9929</f>
      </c>
      <c r="B9937" s="5" t="s">
        <v>9180</v>
      </c>
      <c r="C9937" s="5" t="s">
        <v>11</v>
      </c>
      <c r="D9937" s="5" t="s">
        <v>12</v>
      </c>
      <c r="E9937" s="5" t="s">
        <v>3962</v>
      </c>
    </row>
    <row r="9938" spans="1:5" x14ac:dyDescent="0.25">
      <c r="A9938" s="5">
        <f>9930</f>
      </c>
      <c r="B9938" s="5" t="s">
        <v>9181</v>
      </c>
      <c r="C9938" s="5" t="s">
        <v>11</v>
      </c>
      <c r="D9938" s="5" t="s">
        <v>12</v>
      </c>
      <c r="E9938" s="5" t="s">
        <v>3962</v>
      </c>
    </row>
    <row r="9939" spans="1:5" x14ac:dyDescent="0.25">
      <c r="A9939" s="5">
        <f>9931</f>
      </c>
      <c r="B9939" s="5" t="s">
        <v>9182</v>
      </c>
      <c r="C9939" s="5" t="s">
        <v>11</v>
      </c>
      <c r="D9939" s="5" t="s">
        <v>12</v>
      </c>
      <c r="E9939" s="5" t="s">
        <v>3962</v>
      </c>
    </row>
    <row r="9940" spans="1:5" x14ac:dyDescent="0.25">
      <c r="A9940" s="5">
        <f>9932</f>
      </c>
      <c r="B9940" s="5" t="s">
        <v>9183</v>
      </c>
      <c r="C9940" s="5" t="s">
        <v>11</v>
      </c>
      <c r="D9940" s="5" t="s">
        <v>12</v>
      </c>
      <c r="E9940" s="5" t="s">
        <v>3962</v>
      </c>
    </row>
    <row r="9941" spans="1:5" x14ac:dyDescent="0.25">
      <c r="A9941" s="5">
        <f>9933</f>
      </c>
      <c r="B9941" s="5" t="s">
        <v>9184</v>
      </c>
      <c r="C9941" s="5" t="s">
        <v>11</v>
      </c>
      <c r="D9941" s="5" t="s">
        <v>12</v>
      </c>
      <c r="E9941" s="5" t="s">
        <v>3962</v>
      </c>
    </row>
    <row r="9942" spans="1:5" x14ac:dyDescent="0.25">
      <c r="A9942" s="5">
        <f>9934</f>
      </c>
      <c r="B9942" s="5" t="s">
        <v>9185</v>
      </c>
      <c r="C9942" s="5" t="s">
        <v>11</v>
      </c>
      <c r="D9942" s="5" t="s">
        <v>12</v>
      </c>
      <c r="E9942" s="5" t="s">
        <v>3962</v>
      </c>
    </row>
    <row r="9943" spans="1:5" x14ac:dyDescent="0.25">
      <c r="A9943" s="5">
        <f>9935</f>
      </c>
      <c r="B9943" s="5" t="s">
        <v>9186</v>
      </c>
      <c r="C9943" s="5" t="s">
        <v>11</v>
      </c>
      <c r="D9943" s="5" t="s">
        <v>12</v>
      </c>
      <c r="E9943" s="5" t="s">
        <v>3962</v>
      </c>
    </row>
    <row r="9944" spans="1:5" x14ac:dyDescent="0.25">
      <c r="A9944" s="5">
        <f>9936</f>
      </c>
      <c r="B9944" s="5" t="s">
        <v>9187</v>
      </c>
      <c r="C9944" s="5" t="s">
        <v>11</v>
      </c>
      <c r="D9944" s="5" t="s">
        <v>12</v>
      </c>
      <c r="E9944" s="5" t="s">
        <v>3962</v>
      </c>
    </row>
    <row r="9945" spans="1:5" x14ac:dyDescent="0.25">
      <c r="A9945" s="5">
        <f>9937</f>
      </c>
      <c r="B9945" s="5" t="s">
        <v>9188</v>
      </c>
      <c r="C9945" s="5" t="s">
        <v>11</v>
      </c>
      <c r="D9945" s="5" t="s">
        <v>12</v>
      </c>
      <c r="E9945" s="5" t="s">
        <v>3962</v>
      </c>
    </row>
    <row r="9946" spans="1:5" x14ac:dyDescent="0.25">
      <c r="A9946" s="5">
        <f>9938</f>
      </c>
      <c r="B9946" s="5" t="s">
        <v>9189</v>
      </c>
      <c r="C9946" s="5" t="s">
        <v>11</v>
      </c>
      <c r="D9946" s="5" t="s">
        <v>12</v>
      </c>
      <c r="E9946" s="5" t="s">
        <v>3962</v>
      </c>
    </row>
    <row r="9947" spans="1:5" x14ac:dyDescent="0.25">
      <c r="A9947" s="5">
        <f>9939</f>
      </c>
      <c r="B9947" s="5" t="s">
        <v>9190</v>
      </c>
      <c r="C9947" s="5" t="s">
        <v>11</v>
      </c>
      <c r="D9947" s="5" t="s">
        <v>12</v>
      </c>
      <c r="E9947" s="5" t="s">
        <v>3962</v>
      </c>
    </row>
    <row r="9948" spans="1:5" x14ac:dyDescent="0.25">
      <c r="A9948" s="5">
        <f>9940</f>
      </c>
      <c r="B9948" s="5" t="s">
        <v>9191</v>
      </c>
      <c r="C9948" s="5" t="s">
        <v>11</v>
      </c>
      <c r="D9948" s="5" t="s">
        <v>12</v>
      </c>
      <c r="E9948" s="5" t="s">
        <v>3962</v>
      </c>
    </row>
    <row r="9949" spans="1:5" x14ac:dyDescent="0.25">
      <c r="A9949" s="5">
        <f>9941</f>
      </c>
      <c r="B9949" s="5" t="s">
        <v>9192</v>
      </c>
      <c r="C9949" s="5" t="s">
        <v>11</v>
      </c>
      <c r="D9949" s="5" t="s">
        <v>12</v>
      </c>
      <c r="E9949" s="5" t="s">
        <v>3962</v>
      </c>
    </row>
    <row r="9950" spans="1:5" x14ac:dyDescent="0.25">
      <c r="A9950" s="5">
        <f>9942</f>
      </c>
      <c r="B9950" s="5" t="s">
        <v>9193</v>
      </c>
      <c r="C9950" s="5" t="s">
        <v>11</v>
      </c>
      <c r="D9950" s="5" t="s">
        <v>12</v>
      </c>
      <c r="E9950" s="5" t="s">
        <v>3962</v>
      </c>
    </row>
    <row r="9951" spans="1:5" x14ac:dyDescent="0.25">
      <c r="A9951" s="5">
        <f>9943</f>
      </c>
      <c r="B9951" s="5" t="s">
        <v>9194</v>
      </c>
      <c r="C9951" s="5" t="s">
        <v>11</v>
      </c>
      <c r="D9951" s="5" t="s">
        <v>12</v>
      </c>
      <c r="E9951" s="5" t="s">
        <v>3962</v>
      </c>
    </row>
    <row r="9952" spans="1:5" x14ac:dyDescent="0.25">
      <c r="A9952" s="5">
        <f>9944</f>
      </c>
      <c r="B9952" s="5" t="s">
        <v>9195</v>
      </c>
      <c r="C9952" s="5" t="s">
        <v>11</v>
      </c>
      <c r="D9952" s="5" t="s">
        <v>12</v>
      </c>
      <c r="E9952" s="5" t="s">
        <v>3962</v>
      </c>
    </row>
    <row r="9953" spans="1:5" x14ac:dyDescent="0.25">
      <c r="A9953" s="5">
        <f>9945</f>
      </c>
      <c r="B9953" s="5" t="s">
        <v>9196</v>
      </c>
      <c r="C9953" s="5" t="s">
        <v>11</v>
      </c>
      <c r="D9953" s="5" t="s">
        <v>12</v>
      </c>
      <c r="E9953" s="5" t="s">
        <v>3962</v>
      </c>
    </row>
    <row r="9954" spans="1:5" x14ac:dyDescent="0.25">
      <c r="A9954" s="5">
        <f>9946</f>
      </c>
      <c r="B9954" s="5" t="s">
        <v>9197</v>
      </c>
      <c r="C9954" s="5" t="s">
        <v>11</v>
      </c>
      <c r="D9954" s="5" t="s">
        <v>12</v>
      </c>
      <c r="E9954" s="5" t="s">
        <v>3962</v>
      </c>
    </row>
    <row r="9955" spans="1:5" x14ac:dyDescent="0.25">
      <c r="A9955" s="5">
        <f>9947</f>
      </c>
      <c r="B9955" s="5" t="s">
        <v>9198</v>
      </c>
      <c r="C9955" s="5" t="s">
        <v>11</v>
      </c>
      <c r="D9955" s="5" t="s">
        <v>12</v>
      </c>
      <c r="E9955" s="5" t="s">
        <v>3962</v>
      </c>
    </row>
    <row r="9956" spans="1:5" x14ac:dyDescent="0.25">
      <c r="A9956" s="5">
        <f>9948</f>
      </c>
      <c r="B9956" s="5" t="s">
        <v>9199</v>
      </c>
      <c r="C9956" s="5" t="s">
        <v>11</v>
      </c>
      <c r="D9956" s="5" t="s">
        <v>12</v>
      </c>
      <c r="E9956" s="5" t="s">
        <v>3962</v>
      </c>
    </row>
    <row r="9957" spans="1:5" x14ac:dyDescent="0.25">
      <c r="A9957" s="5">
        <f>9949</f>
      </c>
      <c r="B9957" s="5" t="s">
        <v>9200</v>
      </c>
      <c r="C9957" s="5" t="s">
        <v>11</v>
      </c>
      <c r="D9957" s="5" t="s">
        <v>12</v>
      </c>
      <c r="E9957" s="5" t="s">
        <v>3962</v>
      </c>
    </row>
    <row r="9958" spans="1:5" x14ac:dyDescent="0.25">
      <c r="A9958" s="5">
        <f>9950</f>
      </c>
      <c r="B9958" s="5" t="s">
        <v>9201</v>
      </c>
      <c r="C9958" s="5" t="s">
        <v>11</v>
      </c>
      <c r="D9958" s="5" t="s">
        <v>12</v>
      </c>
      <c r="E9958" s="5" t="s">
        <v>3962</v>
      </c>
    </row>
    <row r="9959" spans="1:5" x14ac:dyDescent="0.25">
      <c r="A9959" s="5">
        <f>9951</f>
      </c>
      <c r="B9959" s="5" t="s">
        <v>9202</v>
      </c>
      <c r="C9959" s="5" t="s">
        <v>11</v>
      </c>
      <c r="D9959" s="5" t="s">
        <v>12</v>
      </c>
      <c r="E9959" s="5" t="s">
        <v>3962</v>
      </c>
    </row>
    <row r="9960" spans="1:5" x14ac:dyDescent="0.25">
      <c r="A9960" s="5">
        <f>9952</f>
      </c>
      <c r="B9960" s="5" t="s">
        <v>9203</v>
      </c>
      <c r="C9960" s="5" t="s">
        <v>11</v>
      </c>
      <c r="D9960" s="5" t="s">
        <v>12</v>
      </c>
      <c r="E9960" s="5" t="s">
        <v>3962</v>
      </c>
    </row>
    <row r="9961" spans="1:5" x14ac:dyDescent="0.25">
      <c r="A9961" s="5">
        <f>9953</f>
      </c>
      <c r="B9961" s="5" t="s">
        <v>9204</v>
      </c>
      <c r="C9961" s="5" t="s">
        <v>11</v>
      </c>
      <c r="D9961" s="5" t="s">
        <v>12</v>
      </c>
      <c r="E9961" s="5" t="s">
        <v>3962</v>
      </c>
    </row>
    <row r="9962" spans="1:5" x14ac:dyDescent="0.25">
      <c r="A9962" s="5">
        <f>9954</f>
      </c>
      <c r="B9962" s="5" t="s">
        <v>9205</v>
      </c>
      <c r="C9962" s="5" t="s">
        <v>11</v>
      </c>
      <c r="D9962" s="5" t="s">
        <v>12</v>
      </c>
      <c r="E9962" s="5" t="s">
        <v>3962</v>
      </c>
    </row>
    <row r="9963" spans="1:5" x14ac:dyDescent="0.25">
      <c r="A9963" s="5">
        <f>9955</f>
      </c>
      <c r="B9963" s="5" t="s">
        <v>9206</v>
      </c>
      <c r="C9963" s="5" t="s">
        <v>11</v>
      </c>
      <c r="D9963" s="5" t="s">
        <v>12</v>
      </c>
      <c r="E9963" s="5" t="s">
        <v>3962</v>
      </c>
    </row>
    <row r="9964" spans="1:5" x14ac:dyDescent="0.25">
      <c r="A9964" s="5">
        <f>9956</f>
      </c>
      <c r="B9964" s="5" t="s">
        <v>9207</v>
      </c>
      <c r="C9964" s="5" t="s">
        <v>11</v>
      </c>
      <c r="D9964" s="5" t="s">
        <v>12</v>
      </c>
      <c r="E9964" s="5" t="s">
        <v>3962</v>
      </c>
    </row>
    <row r="9965" spans="1:5" x14ac:dyDescent="0.25">
      <c r="A9965" s="5">
        <f>9957</f>
      </c>
      <c r="B9965" s="5" t="s">
        <v>9208</v>
      </c>
      <c r="C9965" s="5" t="s">
        <v>11</v>
      </c>
      <c r="D9965" s="5" t="s">
        <v>12</v>
      </c>
      <c r="E9965" s="5" t="s">
        <v>3962</v>
      </c>
    </row>
    <row r="9966" spans="1:5" x14ac:dyDescent="0.25">
      <c r="A9966" s="5">
        <f>9958</f>
      </c>
      <c r="B9966" s="5" t="s">
        <v>9209</v>
      </c>
      <c r="C9966" s="5" t="s">
        <v>11</v>
      </c>
      <c r="D9966" s="5" t="s">
        <v>12</v>
      </c>
      <c r="E9966" s="5" t="s">
        <v>3962</v>
      </c>
    </row>
    <row r="9967" spans="1:5" x14ac:dyDescent="0.25">
      <c r="A9967" s="5">
        <f>9959</f>
      </c>
      <c r="B9967" s="5" t="s">
        <v>9210</v>
      </c>
      <c r="C9967" s="5" t="s">
        <v>11</v>
      </c>
      <c r="D9967" s="5" t="s">
        <v>12</v>
      </c>
      <c r="E9967" s="5" t="s">
        <v>3962</v>
      </c>
    </row>
    <row r="9968" spans="1:5" x14ac:dyDescent="0.25">
      <c r="A9968" s="5">
        <f>9960</f>
      </c>
      <c r="B9968" s="5" t="s">
        <v>9211</v>
      </c>
      <c r="C9968" s="5" t="s">
        <v>11</v>
      </c>
      <c r="D9968" s="5" t="s">
        <v>12</v>
      </c>
      <c r="E9968" s="5" t="s">
        <v>3962</v>
      </c>
    </row>
    <row r="9969" spans="1:5" x14ac:dyDescent="0.25">
      <c r="A9969" s="5">
        <f>9961</f>
      </c>
      <c r="B9969" s="5" t="s">
        <v>9212</v>
      </c>
      <c r="C9969" s="5" t="s">
        <v>11</v>
      </c>
      <c r="D9969" s="5" t="s">
        <v>12</v>
      </c>
      <c r="E9969" s="5" t="s">
        <v>3962</v>
      </c>
    </row>
    <row r="9970" spans="1:5" x14ac:dyDescent="0.25">
      <c r="A9970" s="5">
        <f>9962</f>
      </c>
      <c r="B9970" s="5" t="s">
        <v>9213</v>
      </c>
      <c r="C9970" s="5" t="s">
        <v>11</v>
      </c>
      <c r="D9970" s="5" t="s">
        <v>12</v>
      </c>
      <c r="E9970" s="5" t="s">
        <v>3962</v>
      </c>
    </row>
    <row r="9971" spans="1:5" x14ac:dyDescent="0.25">
      <c r="A9971" s="5">
        <f>9963</f>
      </c>
      <c r="B9971" s="5" t="s">
        <v>9214</v>
      </c>
      <c r="C9971" s="5" t="s">
        <v>11</v>
      </c>
      <c r="D9971" s="5" t="s">
        <v>12</v>
      </c>
      <c r="E9971" s="5" t="s">
        <v>3962</v>
      </c>
    </row>
    <row r="9972" spans="1:5" x14ac:dyDescent="0.25">
      <c r="A9972" s="5">
        <f>9964</f>
      </c>
      <c r="B9972" s="5" t="s">
        <v>9215</v>
      </c>
      <c r="C9972" s="5" t="s">
        <v>11</v>
      </c>
      <c r="D9972" s="5" t="s">
        <v>12</v>
      </c>
      <c r="E9972" s="5" t="s">
        <v>3962</v>
      </c>
    </row>
    <row r="9973" spans="1:5" x14ac:dyDescent="0.25">
      <c r="A9973" s="5">
        <f>9965</f>
      </c>
      <c r="B9973" s="5" t="s">
        <v>9216</v>
      </c>
      <c r="C9973" s="5" t="s">
        <v>11</v>
      </c>
      <c r="D9973" s="5" t="s">
        <v>12</v>
      </c>
      <c r="E9973" s="5" t="s">
        <v>3962</v>
      </c>
    </row>
    <row r="9974" spans="1:5" x14ac:dyDescent="0.25">
      <c r="A9974" s="5">
        <f>9966</f>
      </c>
      <c r="B9974" s="5" t="s">
        <v>9217</v>
      </c>
      <c r="C9974" s="5" t="s">
        <v>11</v>
      </c>
      <c r="D9974" s="5" t="s">
        <v>12</v>
      </c>
      <c r="E9974" s="5" t="s">
        <v>3962</v>
      </c>
    </row>
    <row r="9975" spans="1:5" x14ac:dyDescent="0.25">
      <c r="A9975" s="5">
        <f>9967</f>
      </c>
      <c r="B9975" s="5" t="s">
        <v>9218</v>
      </c>
      <c r="C9975" s="5" t="s">
        <v>11</v>
      </c>
      <c r="D9975" s="5" t="s">
        <v>12</v>
      </c>
      <c r="E9975" s="5" t="s">
        <v>3962</v>
      </c>
    </row>
    <row r="9976" spans="1:5" x14ac:dyDescent="0.25">
      <c r="A9976" s="5">
        <f>9968</f>
      </c>
      <c r="B9976" s="5" t="s">
        <v>9219</v>
      </c>
      <c r="C9976" s="5" t="s">
        <v>11</v>
      </c>
      <c r="D9976" s="5" t="s">
        <v>12</v>
      </c>
      <c r="E9976" s="5" t="s">
        <v>3962</v>
      </c>
    </row>
    <row r="9977" spans="1:5" x14ac:dyDescent="0.25">
      <c r="A9977" s="5">
        <f>9969</f>
      </c>
      <c r="B9977" s="5" t="s">
        <v>9220</v>
      </c>
      <c r="C9977" s="5" t="s">
        <v>11</v>
      </c>
      <c r="D9977" s="5" t="s">
        <v>12</v>
      </c>
      <c r="E9977" s="5" t="s">
        <v>3962</v>
      </c>
    </row>
    <row r="9978" spans="1:5" x14ac:dyDescent="0.25">
      <c r="A9978" s="5">
        <f>9970</f>
      </c>
      <c r="B9978" s="5" t="s">
        <v>9221</v>
      </c>
      <c r="C9978" s="5" t="s">
        <v>11</v>
      </c>
      <c r="D9978" s="5" t="s">
        <v>12</v>
      </c>
      <c r="E9978" s="5" t="s">
        <v>3962</v>
      </c>
    </row>
    <row r="9979" spans="1:5" x14ac:dyDescent="0.25">
      <c r="A9979" s="5">
        <f>9971</f>
      </c>
      <c r="B9979" s="5" t="s">
        <v>9222</v>
      </c>
      <c r="C9979" s="5" t="s">
        <v>11</v>
      </c>
      <c r="D9979" s="5" t="s">
        <v>12</v>
      </c>
      <c r="E9979" s="5" t="s">
        <v>3962</v>
      </c>
    </row>
    <row r="9980" spans="1:5" x14ac:dyDescent="0.25">
      <c r="A9980" s="5">
        <f>9972</f>
      </c>
      <c r="B9980" s="5" t="s">
        <v>9223</v>
      </c>
      <c r="C9980" s="5" t="s">
        <v>11</v>
      </c>
      <c r="D9980" s="5" t="s">
        <v>12</v>
      </c>
      <c r="E9980" s="5" t="s">
        <v>3962</v>
      </c>
    </row>
    <row r="9981" spans="1:5" x14ac:dyDescent="0.25">
      <c r="A9981" s="5">
        <f>9973</f>
      </c>
      <c r="B9981" s="5" t="s">
        <v>9224</v>
      </c>
      <c r="C9981" s="5" t="s">
        <v>11</v>
      </c>
      <c r="D9981" s="5" t="s">
        <v>12</v>
      </c>
      <c r="E9981" s="5" t="s">
        <v>3962</v>
      </c>
    </row>
    <row r="9982" spans="1:5" x14ac:dyDescent="0.25">
      <c r="A9982" s="5">
        <f>9974</f>
      </c>
      <c r="B9982" s="5" t="s">
        <v>9225</v>
      </c>
      <c r="C9982" s="5" t="s">
        <v>11</v>
      </c>
      <c r="D9982" s="5" t="s">
        <v>12</v>
      </c>
      <c r="E9982" s="5" t="s">
        <v>3962</v>
      </c>
    </row>
    <row r="9983" spans="1:5" x14ac:dyDescent="0.25">
      <c r="A9983" s="5">
        <f>9975</f>
      </c>
      <c r="B9983" s="5" t="s">
        <v>9226</v>
      </c>
      <c r="C9983" s="5" t="s">
        <v>11</v>
      </c>
      <c r="D9983" s="5" t="s">
        <v>12</v>
      </c>
      <c r="E9983" s="5" t="s">
        <v>3962</v>
      </c>
    </row>
    <row r="9984" spans="1:5" x14ac:dyDescent="0.25">
      <c r="A9984" s="5">
        <f>9976</f>
      </c>
      <c r="B9984" s="5" t="s">
        <v>9227</v>
      </c>
      <c r="C9984" s="5" t="s">
        <v>11</v>
      </c>
      <c r="D9984" s="5" t="s">
        <v>12</v>
      </c>
      <c r="E9984" s="5" t="s">
        <v>3962</v>
      </c>
    </row>
    <row r="9985" spans="1:5" x14ac:dyDescent="0.25">
      <c r="A9985" s="5">
        <f>9977</f>
      </c>
      <c r="B9985" s="5" t="s">
        <v>9228</v>
      </c>
      <c r="C9985" s="5" t="s">
        <v>11</v>
      </c>
      <c r="D9985" s="5" t="s">
        <v>12</v>
      </c>
      <c r="E9985" s="5" t="s">
        <v>3962</v>
      </c>
    </row>
    <row r="9986" spans="1:5" x14ac:dyDescent="0.25">
      <c r="A9986" s="5">
        <f>9978</f>
      </c>
      <c r="B9986" s="5" t="s">
        <v>9229</v>
      </c>
      <c r="C9986" s="5" t="s">
        <v>11</v>
      </c>
      <c r="D9986" s="5" t="s">
        <v>12</v>
      </c>
      <c r="E9986" s="5" t="s">
        <v>3962</v>
      </c>
    </row>
    <row r="9987" spans="1:5" x14ac:dyDescent="0.25">
      <c r="A9987" s="5">
        <f>9979</f>
      </c>
      <c r="B9987" s="5" t="s">
        <v>9230</v>
      </c>
      <c r="C9987" s="5" t="s">
        <v>11</v>
      </c>
      <c r="D9987" s="5" t="s">
        <v>12</v>
      </c>
      <c r="E9987" s="5" t="s">
        <v>3962</v>
      </c>
    </row>
    <row r="9988" spans="1:5" x14ac:dyDescent="0.25">
      <c r="A9988" s="5">
        <f>9980</f>
      </c>
      <c r="B9988" s="5" t="s">
        <v>9231</v>
      </c>
      <c r="C9988" s="5" t="s">
        <v>11</v>
      </c>
      <c r="D9988" s="5" t="s">
        <v>12</v>
      </c>
      <c r="E9988" s="5" t="s">
        <v>3962</v>
      </c>
    </row>
    <row r="9989" spans="1:5" x14ac:dyDescent="0.25">
      <c r="A9989" s="5">
        <f>9981</f>
      </c>
      <c r="B9989" s="5" t="s">
        <v>9232</v>
      </c>
      <c r="C9989" s="5" t="s">
        <v>11</v>
      </c>
      <c r="D9989" s="5" t="s">
        <v>12</v>
      </c>
      <c r="E9989" s="5" t="s">
        <v>3962</v>
      </c>
    </row>
    <row r="9990" spans="1:5" x14ac:dyDescent="0.25">
      <c r="A9990" s="5">
        <f>9982</f>
      </c>
      <c r="B9990" s="5" t="s">
        <v>9233</v>
      </c>
      <c r="C9990" s="5" t="s">
        <v>11</v>
      </c>
      <c r="D9990" s="5" t="s">
        <v>12</v>
      </c>
      <c r="E9990" s="5" t="s">
        <v>3962</v>
      </c>
    </row>
    <row r="9991" spans="1:5" x14ac:dyDescent="0.25">
      <c r="A9991" s="5">
        <f>9983</f>
      </c>
      <c r="B9991" s="5" t="s">
        <v>9234</v>
      </c>
      <c r="C9991" s="5" t="s">
        <v>11</v>
      </c>
      <c r="D9991" s="5" t="s">
        <v>12</v>
      </c>
      <c r="E9991" s="5" t="s">
        <v>3962</v>
      </c>
    </row>
    <row r="9992" spans="1:5" x14ac:dyDescent="0.25">
      <c r="A9992" s="5">
        <f>9984</f>
      </c>
      <c r="B9992" s="5" t="s">
        <v>9235</v>
      </c>
      <c r="C9992" s="5" t="s">
        <v>11</v>
      </c>
      <c r="D9992" s="5" t="s">
        <v>12</v>
      </c>
      <c r="E9992" s="5" t="s">
        <v>3962</v>
      </c>
    </row>
    <row r="9993" spans="1:5" x14ac:dyDescent="0.25">
      <c r="A9993" s="5">
        <f>9985</f>
      </c>
      <c r="B9993" s="5" t="s">
        <v>9236</v>
      </c>
      <c r="C9993" s="5" t="s">
        <v>11</v>
      </c>
      <c r="D9993" s="5" t="s">
        <v>12</v>
      </c>
      <c r="E9993" s="5" t="s">
        <v>3962</v>
      </c>
    </row>
    <row r="9994" spans="1:5" x14ac:dyDescent="0.25">
      <c r="A9994" s="5">
        <f>9986</f>
      </c>
      <c r="B9994" s="5" t="s">
        <v>9237</v>
      </c>
      <c r="C9994" s="5" t="s">
        <v>11</v>
      </c>
      <c r="D9994" s="5" t="s">
        <v>12</v>
      </c>
      <c r="E9994" s="5" t="s">
        <v>3962</v>
      </c>
    </row>
    <row r="9995" spans="1:5" x14ac:dyDescent="0.25">
      <c r="A9995" s="5">
        <f>9987</f>
      </c>
      <c r="B9995" s="5" t="s">
        <v>9238</v>
      </c>
      <c r="C9995" s="5" t="s">
        <v>11</v>
      </c>
      <c r="D9995" s="5" t="s">
        <v>12</v>
      </c>
      <c r="E9995" s="5" t="s">
        <v>3962</v>
      </c>
    </row>
    <row r="9996" spans="1:5" x14ac:dyDescent="0.25">
      <c r="A9996" s="5">
        <f>9988</f>
      </c>
      <c r="B9996" s="5" t="s">
        <v>9239</v>
      </c>
      <c r="C9996" s="5" t="s">
        <v>11</v>
      </c>
      <c r="D9996" s="5" t="s">
        <v>12</v>
      </c>
      <c r="E9996" s="5" t="s">
        <v>3962</v>
      </c>
    </row>
    <row r="9997" spans="1:5" x14ac:dyDescent="0.25">
      <c r="A9997" s="5">
        <f>9989</f>
      </c>
      <c r="B9997" s="5" t="s">
        <v>9240</v>
      </c>
      <c r="C9997" s="5" t="s">
        <v>11</v>
      </c>
      <c r="D9997" s="5" t="s">
        <v>12</v>
      </c>
      <c r="E9997" s="5" t="s">
        <v>3962</v>
      </c>
    </row>
    <row r="9998" spans="1:5" x14ac:dyDescent="0.25">
      <c r="A9998" s="5">
        <f>9990</f>
      </c>
      <c r="B9998" s="5" t="s">
        <v>9241</v>
      </c>
      <c r="C9998" s="5" t="s">
        <v>11</v>
      </c>
      <c r="D9998" s="5" t="s">
        <v>12</v>
      </c>
      <c r="E9998" s="5" t="s">
        <v>3962</v>
      </c>
    </row>
    <row r="9999" spans="1:5" x14ac:dyDescent="0.25">
      <c r="A9999" s="5">
        <f>9991</f>
      </c>
      <c r="B9999" s="5" t="s">
        <v>9242</v>
      </c>
      <c r="C9999" s="5" t="s">
        <v>11</v>
      </c>
      <c r="D9999" s="5" t="s">
        <v>12</v>
      </c>
      <c r="E9999" s="5" t="s">
        <v>3962</v>
      </c>
    </row>
    <row r="10000" spans="1:5" x14ac:dyDescent="0.25">
      <c r="A10000" s="5">
        <f>9992</f>
      </c>
      <c r="B10000" s="5" t="s">
        <v>9243</v>
      </c>
      <c r="C10000" s="5" t="s">
        <v>11</v>
      </c>
      <c r="D10000" s="5" t="s">
        <v>12</v>
      </c>
      <c r="E10000" s="5" t="s">
        <v>3962</v>
      </c>
    </row>
    <row r="10001" spans="1:5" x14ac:dyDescent="0.25">
      <c r="A10001" s="5">
        <f>9993</f>
      </c>
      <c r="B10001" s="5" t="s">
        <v>9244</v>
      </c>
      <c r="C10001" s="5" t="s">
        <v>11</v>
      </c>
      <c r="D10001" s="5" t="s">
        <v>12</v>
      </c>
      <c r="E10001" s="5" t="s">
        <v>3962</v>
      </c>
    </row>
    <row r="10002" spans="1:5" x14ac:dyDescent="0.25">
      <c r="A10002" s="5">
        <f>9994</f>
      </c>
      <c r="B10002" s="5" t="s">
        <v>9245</v>
      </c>
      <c r="C10002" s="5" t="s">
        <v>11</v>
      </c>
      <c r="D10002" s="5" t="s">
        <v>12</v>
      </c>
      <c r="E10002" s="5" t="s">
        <v>3962</v>
      </c>
    </row>
    <row r="10003" spans="1:5" x14ac:dyDescent="0.25">
      <c r="A10003" s="5">
        <f>9995</f>
      </c>
      <c r="B10003" s="5" t="s">
        <v>9246</v>
      </c>
      <c r="C10003" s="5" t="s">
        <v>11</v>
      </c>
      <c r="D10003" s="5" t="s">
        <v>12</v>
      </c>
      <c r="E10003" s="5" t="s">
        <v>3962</v>
      </c>
    </row>
    <row r="10004" spans="1:5" x14ac:dyDescent="0.25">
      <c r="A10004" s="5">
        <f>9996</f>
      </c>
      <c r="B10004" s="5" t="s">
        <v>9247</v>
      </c>
      <c r="C10004" s="5" t="s">
        <v>11</v>
      </c>
      <c r="D10004" s="5" t="s">
        <v>12</v>
      </c>
      <c r="E10004" s="5" t="s">
        <v>3962</v>
      </c>
    </row>
    <row r="10005" spans="1:5" x14ac:dyDescent="0.25">
      <c r="A10005" s="5">
        <f>9997</f>
      </c>
      <c r="B10005" s="5" t="s">
        <v>9248</v>
      </c>
      <c r="C10005" s="5" t="s">
        <v>11</v>
      </c>
      <c r="D10005" s="5" t="s">
        <v>12</v>
      </c>
      <c r="E10005" s="5" t="s">
        <v>3962</v>
      </c>
    </row>
    <row r="10006" spans="1:5" x14ac:dyDescent="0.25">
      <c r="A10006" s="5">
        <f>9998</f>
      </c>
      <c r="B10006" s="5" t="s">
        <v>9249</v>
      </c>
      <c r="C10006" s="5" t="s">
        <v>11</v>
      </c>
      <c r="D10006" s="5" t="s">
        <v>12</v>
      </c>
      <c r="E10006" s="5" t="s">
        <v>3962</v>
      </c>
    </row>
    <row r="10007" spans="1:5" x14ac:dyDescent="0.25">
      <c r="A10007" s="5">
        <f>9999</f>
      </c>
      <c r="B10007" s="5" t="s">
        <v>9250</v>
      </c>
      <c r="C10007" s="5" t="s">
        <v>11</v>
      </c>
      <c r="D10007" s="5" t="s">
        <v>12</v>
      </c>
      <c r="E10007" s="5" t="s">
        <v>3962</v>
      </c>
    </row>
    <row r="10008" spans="1:5" x14ac:dyDescent="0.25">
      <c r="A10008" s="5">
        <f>10000</f>
      </c>
      <c r="B10008" s="5" t="s">
        <v>9251</v>
      </c>
      <c r="C10008" s="5" t="s">
        <v>11</v>
      </c>
      <c r="D10008" s="5" t="s">
        <v>12</v>
      </c>
      <c r="E10008" s="5" t="s">
        <v>3962</v>
      </c>
    </row>
    <row r="10009" spans="1:5" x14ac:dyDescent="0.25">
      <c r="A10009" s="5">
        <f>10001</f>
      </c>
      <c r="B10009" s="5" t="s">
        <v>9252</v>
      </c>
      <c r="C10009" s="5" t="s">
        <v>11</v>
      </c>
      <c r="D10009" s="5" t="s">
        <v>12</v>
      </c>
      <c r="E10009" s="5" t="s">
        <v>3962</v>
      </c>
    </row>
    <row r="10010" spans="1:5" x14ac:dyDescent="0.25">
      <c r="A10010" s="5">
        <f>10002</f>
      </c>
      <c r="B10010" s="5" t="s">
        <v>9253</v>
      </c>
      <c r="C10010" s="5" t="s">
        <v>11</v>
      </c>
      <c r="D10010" s="5" t="s">
        <v>12</v>
      </c>
      <c r="E10010" s="5" t="s">
        <v>3962</v>
      </c>
    </row>
    <row r="10011" spans="1:5" x14ac:dyDescent="0.25">
      <c r="A10011" s="5">
        <f>10003</f>
      </c>
      <c r="B10011" s="5" t="s">
        <v>9254</v>
      </c>
      <c r="C10011" s="5" t="s">
        <v>11</v>
      </c>
      <c r="D10011" s="5" t="s">
        <v>12</v>
      </c>
      <c r="E10011" s="5" t="s">
        <v>3962</v>
      </c>
    </row>
    <row r="10012" spans="1:5" x14ac:dyDescent="0.25">
      <c r="A10012" s="5">
        <f>10004</f>
      </c>
      <c r="B10012" s="5" t="s">
        <v>9255</v>
      </c>
      <c r="C10012" s="5" t="s">
        <v>11</v>
      </c>
      <c r="D10012" s="5" t="s">
        <v>12</v>
      </c>
      <c r="E10012" s="5" t="s">
        <v>3962</v>
      </c>
    </row>
    <row r="10013" spans="1:5" x14ac:dyDescent="0.25">
      <c r="A10013" s="5">
        <f>10005</f>
      </c>
      <c r="B10013" s="5" t="s">
        <v>9256</v>
      </c>
      <c r="C10013" s="5" t="s">
        <v>11</v>
      </c>
      <c r="D10013" s="5" t="s">
        <v>12</v>
      </c>
      <c r="E10013" s="5" t="s">
        <v>3962</v>
      </c>
    </row>
    <row r="10014" spans="1:5" x14ac:dyDescent="0.25">
      <c r="A10014" s="5">
        <f>10006</f>
      </c>
      <c r="B10014" s="5" t="s">
        <v>9257</v>
      </c>
      <c r="C10014" s="5" t="s">
        <v>11</v>
      </c>
      <c r="D10014" s="5" t="s">
        <v>12</v>
      </c>
      <c r="E10014" s="5" t="s">
        <v>3962</v>
      </c>
    </row>
    <row r="10015" spans="1:5" x14ac:dyDescent="0.25">
      <c r="A10015" s="5">
        <f>10007</f>
      </c>
      <c r="B10015" s="5" t="s">
        <v>9258</v>
      </c>
      <c r="C10015" s="5" t="s">
        <v>11</v>
      </c>
      <c r="D10015" s="5" t="s">
        <v>12</v>
      </c>
      <c r="E10015" s="5" t="s">
        <v>3962</v>
      </c>
    </row>
    <row r="10016" spans="1:5" x14ac:dyDescent="0.25">
      <c r="A10016" s="5">
        <f>10008</f>
      </c>
      <c r="B10016" s="5" t="s">
        <v>9259</v>
      </c>
      <c r="C10016" s="5" t="s">
        <v>11</v>
      </c>
      <c r="D10016" s="5" t="s">
        <v>12</v>
      </c>
      <c r="E10016" s="5" t="s">
        <v>3962</v>
      </c>
    </row>
    <row r="10017" spans="1:5" x14ac:dyDescent="0.25">
      <c r="A10017" s="5">
        <f>10009</f>
      </c>
      <c r="B10017" s="5" t="s">
        <v>9260</v>
      </c>
      <c r="C10017" s="5" t="s">
        <v>11</v>
      </c>
      <c r="D10017" s="5" t="s">
        <v>12</v>
      </c>
      <c r="E10017" s="5" t="s">
        <v>3962</v>
      </c>
    </row>
    <row r="10018" spans="1:5" x14ac:dyDescent="0.25">
      <c r="A10018" s="5">
        <f>10010</f>
      </c>
      <c r="B10018" s="5" t="s">
        <v>9261</v>
      </c>
      <c r="C10018" s="5" t="s">
        <v>11</v>
      </c>
      <c r="D10018" s="5" t="s">
        <v>12</v>
      </c>
      <c r="E10018" s="5" t="s">
        <v>3962</v>
      </c>
    </row>
    <row r="10019" spans="1:5" x14ac:dyDescent="0.25">
      <c r="A10019" s="5">
        <f>10011</f>
      </c>
      <c r="B10019" s="5" t="s">
        <v>9262</v>
      </c>
      <c r="C10019" s="5" t="s">
        <v>11</v>
      </c>
      <c r="D10019" s="5" t="s">
        <v>12</v>
      </c>
      <c r="E10019" s="5" t="s">
        <v>3962</v>
      </c>
    </row>
    <row r="10020" spans="1:5" x14ac:dyDescent="0.25">
      <c r="A10020" s="5">
        <f>10012</f>
      </c>
      <c r="B10020" s="5" t="s">
        <v>9263</v>
      </c>
      <c r="C10020" s="5" t="s">
        <v>11</v>
      </c>
      <c r="D10020" s="5" t="s">
        <v>12</v>
      </c>
      <c r="E10020" s="5" t="s">
        <v>3962</v>
      </c>
    </row>
    <row r="10021" spans="1:5" x14ac:dyDescent="0.25">
      <c r="A10021" s="5">
        <f>10013</f>
      </c>
      <c r="B10021" s="5" t="s">
        <v>9264</v>
      </c>
      <c r="C10021" s="5" t="s">
        <v>11</v>
      </c>
      <c r="D10021" s="5" t="s">
        <v>12</v>
      </c>
      <c r="E10021" s="5" t="s">
        <v>3962</v>
      </c>
    </row>
    <row r="10022" spans="1:5" x14ac:dyDescent="0.25">
      <c r="A10022" s="5">
        <f>10014</f>
      </c>
      <c r="B10022" s="5" t="s">
        <v>9265</v>
      </c>
      <c r="C10022" s="5" t="s">
        <v>11</v>
      </c>
      <c r="D10022" s="5" t="s">
        <v>12</v>
      </c>
      <c r="E10022" s="5" t="s">
        <v>3962</v>
      </c>
    </row>
    <row r="10023" spans="1:5" x14ac:dyDescent="0.25">
      <c r="A10023" s="5">
        <f>10015</f>
      </c>
      <c r="B10023" s="5" t="s">
        <v>9266</v>
      </c>
      <c r="C10023" s="5" t="s">
        <v>11</v>
      </c>
      <c r="D10023" s="5" t="s">
        <v>12</v>
      </c>
      <c r="E10023" s="5" t="s">
        <v>3962</v>
      </c>
    </row>
    <row r="10024" spans="1:5" x14ac:dyDescent="0.25">
      <c r="A10024" s="5">
        <f>10016</f>
      </c>
      <c r="B10024" s="5" t="s">
        <v>9267</v>
      </c>
      <c r="C10024" s="5" t="s">
        <v>11</v>
      </c>
      <c r="D10024" s="5" t="s">
        <v>12</v>
      </c>
      <c r="E10024" s="5" t="s">
        <v>3962</v>
      </c>
    </row>
    <row r="10025" spans="1:5" x14ac:dyDescent="0.25">
      <c r="A10025" s="5">
        <f>10017</f>
      </c>
      <c r="B10025" s="5" t="s">
        <v>9268</v>
      </c>
      <c r="C10025" s="5" t="s">
        <v>11</v>
      </c>
      <c r="D10025" s="5" t="s">
        <v>12</v>
      </c>
      <c r="E10025" s="5" t="s">
        <v>3962</v>
      </c>
    </row>
    <row r="10026" spans="1:5" x14ac:dyDescent="0.25">
      <c r="A10026" s="5">
        <f>10018</f>
      </c>
      <c r="B10026" s="5" t="s">
        <v>9269</v>
      </c>
      <c r="C10026" s="5" t="s">
        <v>11</v>
      </c>
      <c r="D10026" s="5" t="s">
        <v>12</v>
      </c>
      <c r="E10026" s="5" t="s">
        <v>3962</v>
      </c>
    </row>
    <row r="10027" spans="1:5" x14ac:dyDescent="0.25">
      <c r="A10027" s="5">
        <f>10019</f>
      </c>
      <c r="B10027" s="5" t="s">
        <v>9270</v>
      </c>
      <c r="C10027" s="5" t="s">
        <v>11</v>
      </c>
      <c r="D10027" s="5" t="s">
        <v>12</v>
      </c>
      <c r="E10027" s="5" t="s">
        <v>3962</v>
      </c>
    </row>
    <row r="10028" spans="1:5" x14ac:dyDescent="0.25">
      <c r="A10028" s="5">
        <f>10020</f>
      </c>
      <c r="B10028" s="5" t="s">
        <v>9271</v>
      </c>
      <c r="C10028" s="5" t="s">
        <v>11</v>
      </c>
      <c r="D10028" s="5" t="s">
        <v>12</v>
      </c>
      <c r="E10028" s="5" t="s">
        <v>3962</v>
      </c>
    </row>
    <row r="10029" spans="1:5" x14ac:dyDescent="0.25">
      <c r="A10029" s="5">
        <f>10021</f>
      </c>
      <c r="B10029" s="5" t="s">
        <v>9272</v>
      </c>
      <c r="C10029" s="5" t="s">
        <v>11</v>
      </c>
      <c r="D10029" s="5" t="s">
        <v>12</v>
      </c>
      <c r="E10029" s="5" t="s">
        <v>3962</v>
      </c>
    </row>
    <row r="10030" spans="1:5" x14ac:dyDescent="0.25">
      <c r="A10030" s="5">
        <f>10022</f>
      </c>
      <c r="B10030" s="5" t="s">
        <v>9273</v>
      </c>
      <c r="C10030" s="5" t="s">
        <v>11</v>
      </c>
      <c r="D10030" s="5" t="s">
        <v>12</v>
      </c>
      <c r="E10030" s="5" t="s">
        <v>3962</v>
      </c>
    </row>
    <row r="10031" spans="1:5" x14ac:dyDescent="0.25">
      <c r="A10031" s="5">
        <f>10023</f>
      </c>
      <c r="B10031" s="5" t="s">
        <v>9274</v>
      </c>
      <c r="C10031" s="5" t="s">
        <v>11</v>
      </c>
      <c r="D10031" s="5" t="s">
        <v>12</v>
      </c>
      <c r="E10031" s="5" t="s">
        <v>3962</v>
      </c>
    </row>
    <row r="10032" spans="1:5" x14ac:dyDescent="0.25">
      <c r="A10032" s="5">
        <f>10024</f>
      </c>
      <c r="B10032" s="5" t="s">
        <v>9275</v>
      </c>
      <c r="C10032" s="5" t="s">
        <v>11</v>
      </c>
      <c r="D10032" s="5" t="s">
        <v>12</v>
      </c>
      <c r="E10032" s="5" t="s">
        <v>3962</v>
      </c>
    </row>
    <row r="10033" spans="1:5" x14ac:dyDescent="0.25">
      <c r="A10033" s="5">
        <f>10025</f>
      </c>
      <c r="B10033" s="5" t="s">
        <v>9276</v>
      </c>
      <c r="C10033" s="5" t="s">
        <v>11</v>
      </c>
      <c r="D10033" s="5" t="s">
        <v>12</v>
      </c>
      <c r="E10033" s="5" t="s">
        <v>3962</v>
      </c>
    </row>
    <row r="10034" spans="1:5" x14ac:dyDescent="0.25">
      <c r="A10034" s="5">
        <f>10026</f>
      </c>
      <c r="B10034" s="5" t="s">
        <v>9277</v>
      </c>
      <c r="C10034" s="5" t="s">
        <v>11</v>
      </c>
      <c r="D10034" s="5" t="s">
        <v>12</v>
      </c>
      <c r="E10034" s="5" t="s">
        <v>3962</v>
      </c>
    </row>
    <row r="10035" spans="1:5" x14ac:dyDescent="0.25">
      <c r="A10035" s="5">
        <f>10027</f>
      </c>
      <c r="B10035" s="5" t="s">
        <v>9278</v>
      </c>
      <c r="C10035" s="5" t="s">
        <v>11</v>
      </c>
      <c r="D10035" s="5" t="s">
        <v>12</v>
      </c>
      <c r="E10035" s="5" t="s">
        <v>3962</v>
      </c>
    </row>
    <row r="10036" spans="1:5" x14ac:dyDescent="0.25">
      <c r="A10036" s="5">
        <f>10028</f>
      </c>
      <c r="B10036" s="5" t="s">
        <v>9279</v>
      </c>
      <c r="C10036" s="5" t="s">
        <v>11</v>
      </c>
      <c r="D10036" s="5" t="s">
        <v>12</v>
      </c>
      <c r="E10036" s="5" t="s">
        <v>3962</v>
      </c>
    </row>
    <row r="10037" spans="1:5" x14ac:dyDescent="0.25">
      <c r="A10037" s="5">
        <f>10029</f>
      </c>
      <c r="B10037" s="5" t="s">
        <v>9280</v>
      </c>
      <c r="C10037" s="5" t="s">
        <v>11</v>
      </c>
      <c r="D10037" s="5" t="s">
        <v>12</v>
      </c>
      <c r="E10037" s="5" t="s">
        <v>3962</v>
      </c>
    </row>
    <row r="10038" spans="1:5" x14ac:dyDescent="0.25">
      <c r="A10038" s="5">
        <f>10030</f>
      </c>
      <c r="B10038" s="5" t="s">
        <v>9281</v>
      </c>
      <c r="C10038" s="5" t="s">
        <v>11</v>
      </c>
      <c r="D10038" s="5" t="s">
        <v>12</v>
      </c>
      <c r="E10038" s="5" t="s">
        <v>3962</v>
      </c>
    </row>
    <row r="10039" spans="1:5" x14ac:dyDescent="0.25">
      <c r="A10039" s="5">
        <f>10031</f>
      </c>
      <c r="B10039" s="5" t="s">
        <v>9282</v>
      </c>
      <c r="C10039" s="5" t="s">
        <v>11</v>
      </c>
      <c r="D10039" s="5" t="s">
        <v>12</v>
      </c>
      <c r="E10039" s="5" t="s">
        <v>3962</v>
      </c>
    </row>
    <row r="10040" spans="1:5" x14ac:dyDescent="0.25">
      <c r="A10040" s="5">
        <f>10032</f>
      </c>
      <c r="B10040" s="5" t="s">
        <v>9283</v>
      </c>
      <c r="C10040" s="5" t="s">
        <v>11</v>
      </c>
      <c r="D10040" s="5" t="s">
        <v>12</v>
      </c>
      <c r="E10040" s="5" t="s">
        <v>3962</v>
      </c>
    </row>
    <row r="10041" spans="1:5" x14ac:dyDescent="0.25">
      <c r="A10041" s="5">
        <f>10033</f>
      </c>
      <c r="B10041" s="5" t="s">
        <v>9284</v>
      </c>
      <c r="C10041" s="5" t="s">
        <v>11</v>
      </c>
      <c r="D10041" s="5" t="s">
        <v>12</v>
      </c>
      <c r="E10041" s="5" t="s">
        <v>3962</v>
      </c>
    </row>
    <row r="10042" spans="1:5" x14ac:dyDescent="0.25">
      <c r="A10042" s="5">
        <f>10034</f>
      </c>
      <c r="B10042" s="5" t="s">
        <v>9285</v>
      </c>
      <c r="C10042" s="5" t="s">
        <v>11</v>
      </c>
      <c r="D10042" s="5" t="s">
        <v>12</v>
      </c>
      <c r="E10042" s="5" t="s">
        <v>3962</v>
      </c>
    </row>
    <row r="10043" spans="1:5" x14ac:dyDescent="0.25">
      <c r="A10043" s="5">
        <f>10035</f>
      </c>
      <c r="B10043" s="5" t="s">
        <v>9286</v>
      </c>
      <c r="C10043" s="5" t="s">
        <v>11</v>
      </c>
      <c r="D10043" s="5" t="s">
        <v>12</v>
      </c>
      <c r="E10043" s="5" t="s">
        <v>3962</v>
      </c>
    </row>
    <row r="10044" spans="1:5" x14ac:dyDescent="0.25">
      <c r="A10044" s="5">
        <f>10036</f>
      </c>
      <c r="B10044" s="5" t="s">
        <v>9287</v>
      </c>
      <c r="C10044" s="5" t="s">
        <v>11</v>
      </c>
      <c r="D10044" s="5" t="s">
        <v>12</v>
      </c>
      <c r="E10044" s="5" t="s">
        <v>3962</v>
      </c>
    </row>
    <row r="10045" spans="1:5" x14ac:dyDescent="0.25">
      <c r="A10045" s="5">
        <f>10037</f>
      </c>
      <c r="B10045" s="5" t="s">
        <v>9288</v>
      </c>
      <c r="C10045" s="5" t="s">
        <v>11</v>
      </c>
      <c r="D10045" s="5" t="s">
        <v>12</v>
      </c>
      <c r="E10045" s="5" t="s">
        <v>3962</v>
      </c>
    </row>
    <row r="10046" spans="1:5" x14ac:dyDescent="0.25">
      <c r="A10046" s="5">
        <f>10038</f>
      </c>
      <c r="B10046" s="5" t="s">
        <v>9289</v>
      </c>
      <c r="C10046" s="5" t="s">
        <v>11</v>
      </c>
      <c r="D10046" s="5" t="s">
        <v>12</v>
      </c>
      <c r="E10046" s="5" t="s">
        <v>3962</v>
      </c>
    </row>
    <row r="10047" spans="1:5" x14ac:dyDescent="0.25">
      <c r="A10047" s="5">
        <f>10039</f>
      </c>
      <c r="B10047" s="5" t="s">
        <v>9290</v>
      </c>
      <c r="C10047" s="5" t="s">
        <v>11</v>
      </c>
      <c r="D10047" s="5" t="s">
        <v>12</v>
      </c>
      <c r="E10047" s="5" t="s">
        <v>3962</v>
      </c>
    </row>
    <row r="10048" spans="1:5" x14ac:dyDescent="0.25">
      <c r="A10048" s="5">
        <f>10040</f>
      </c>
      <c r="B10048" s="5" t="s">
        <v>9291</v>
      </c>
      <c r="C10048" s="5" t="s">
        <v>11</v>
      </c>
      <c r="D10048" s="5" t="s">
        <v>12</v>
      </c>
      <c r="E10048" s="5" t="s">
        <v>3962</v>
      </c>
    </row>
    <row r="10049" spans="1:5" x14ac:dyDescent="0.25">
      <c r="A10049" s="5">
        <f>10041</f>
      </c>
      <c r="B10049" s="5" t="s">
        <v>9292</v>
      </c>
      <c r="C10049" s="5" t="s">
        <v>11</v>
      </c>
      <c r="D10049" s="5" t="s">
        <v>12</v>
      </c>
      <c r="E10049" s="5" t="s">
        <v>3962</v>
      </c>
    </row>
    <row r="10050" spans="1:5" x14ac:dyDescent="0.25">
      <c r="A10050" s="5">
        <f>10042</f>
      </c>
      <c r="B10050" s="5" t="s">
        <v>9293</v>
      </c>
      <c r="C10050" s="5" t="s">
        <v>11</v>
      </c>
      <c r="D10050" s="5" t="s">
        <v>12</v>
      </c>
      <c r="E10050" s="5" t="s">
        <v>3962</v>
      </c>
    </row>
    <row r="10051" spans="1:5" x14ac:dyDescent="0.25">
      <c r="A10051" s="5">
        <f>10043</f>
      </c>
      <c r="B10051" s="5" t="s">
        <v>9294</v>
      </c>
      <c r="C10051" s="5" t="s">
        <v>11</v>
      </c>
      <c r="D10051" s="5" t="s">
        <v>12</v>
      </c>
      <c r="E10051" s="5" t="s">
        <v>3962</v>
      </c>
    </row>
    <row r="10052" spans="1:5" x14ac:dyDescent="0.25">
      <c r="A10052" s="5">
        <f>10044</f>
      </c>
      <c r="B10052" s="5" t="s">
        <v>9295</v>
      </c>
      <c r="C10052" s="5" t="s">
        <v>11</v>
      </c>
      <c r="D10052" s="5" t="s">
        <v>12</v>
      </c>
      <c r="E10052" s="5" t="s">
        <v>3962</v>
      </c>
    </row>
    <row r="10053" spans="1:5" x14ac:dyDescent="0.25">
      <c r="A10053" s="5">
        <f>10045</f>
      </c>
      <c r="B10053" s="5" t="s">
        <v>9296</v>
      </c>
      <c r="C10053" s="5" t="s">
        <v>11</v>
      </c>
      <c r="D10053" s="5" t="s">
        <v>12</v>
      </c>
      <c r="E10053" s="5" t="s">
        <v>3962</v>
      </c>
    </row>
    <row r="10054" spans="1:5" x14ac:dyDescent="0.25">
      <c r="A10054" s="5">
        <f>10046</f>
      </c>
      <c r="B10054" s="5" t="s">
        <v>9297</v>
      </c>
      <c r="C10054" s="5" t="s">
        <v>11</v>
      </c>
      <c r="D10054" s="5" t="s">
        <v>12</v>
      </c>
      <c r="E10054" s="5" t="s">
        <v>3962</v>
      </c>
    </row>
    <row r="10055" spans="1:5" x14ac:dyDescent="0.25">
      <c r="A10055" s="5">
        <f>10047</f>
      </c>
      <c r="B10055" s="5" t="s">
        <v>9298</v>
      </c>
      <c r="C10055" s="5" t="s">
        <v>11</v>
      </c>
      <c r="D10055" s="5" t="s">
        <v>12</v>
      </c>
      <c r="E10055" s="5" t="s">
        <v>3962</v>
      </c>
    </row>
    <row r="10056" spans="1:5" x14ac:dyDescent="0.25">
      <c r="A10056" s="5">
        <f>10048</f>
      </c>
      <c r="B10056" s="5" t="s">
        <v>9299</v>
      </c>
      <c r="C10056" s="5" t="s">
        <v>11</v>
      </c>
      <c r="D10056" s="5" t="s">
        <v>12</v>
      </c>
      <c r="E10056" s="5" t="s">
        <v>3962</v>
      </c>
    </row>
    <row r="10057" spans="1:5" x14ac:dyDescent="0.25">
      <c r="A10057" s="5">
        <f>10049</f>
      </c>
      <c r="B10057" s="5" t="s">
        <v>9300</v>
      </c>
      <c r="C10057" s="5" t="s">
        <v>11</v>
      </c>
      <c r="D10057" s="5" t="s">
        <v>12</v>
      </c>
      <c r="E10057" s="5" t="s">
        <v>3962</v>
      </c>
    </row>
    <row r="10058" spans="1:5" x14ac:dyDescent="0.25">
      <c r="A10058" s="5">
        <f>10050</f>
      </c>
      <c r="B10058" s="5" t="s">
        <v>9301</v>
      </c>
      <c r="C10058" s="5" t="s">
        <v>11</v>
      </c>
      <c r="D10058" s="5" t="s">
        <v>12</v>
      </c>
      <c r="E10058" s="5" t="s">
        <v>3962</v>
      </c>
    </row>
    <row r="10059" spans="1:5" x14ac:dyDescent="0.25">
      <c r="A10059" s="5">
        <f>10051</f>
      </c>
      <c r="B10059" s="5" t="s">
        <v>9302</v>
      </c>
      <c r="C10059" s="5" t="s">
        <v>11</v>
      </c>
      <c r="D10059" s="5" t="s">
        <v>12</v>
      </c>
      <c r="E10059" s="5" t="s">
        <v>3962</v>
      </c>
    </row>
    <row r="10060" spans="1:5" x14ac:dyDescent="0.25">
      <c r="A10060" s="5">
        <f>10052</f>
      </c>
      <c r="B10060" s="5" t="s">
        <v>9303</v>
      </c>
      <c r="C10060" s="5" t="s">
        <v>11</v>
      </c>
      <c r="D10060" s="5" t="s">
        <v>12</v>
      </c>
      <c r="E10060" s="5" t="s">
        <v>3962</v>
      </c>
    </row>
    <row r="10061" spans="1:5" x14ac:dyDescent="0.25">
      <c r="A10061" s="5">
        <f>10053</f>
      </c>
      <c r="B10061" s="5" t="s">
        <v>9304</v>
      </c>
      <c r="C10061" s="5" t="s">
        <v>11</v>
      </c>
      <c r="D10061" s="5" t="s">
        <v>12</v>
      </c>
      <c r="E10061" s="5" t="s">
        <v>3962</v>
      </c>
    </row>
    <row r="10062" spans="1:5" x14ac:dyDescent="0.25">
      <c r="A10062" s="5">
        <f>10054</f>
      </c>
      <c r="B10062" s="5" t="s">
        <v>9305</v>
      </c>
      <c r="C10062" s="5" t="s">
        <v>11</v>
      </c>
      <c r="D10062" s="5" t="s">
        <v>12</v>
      </c>
      <c r="E10062" s="5" t="s">
        <v>3962</v>
      </c>
    </row>
    <row r="10063" spans="1:5" x14ac:dyDescent="0.25">
      <c r="A10063" s="5">
        <f>10055</f>
      </c>
      <c r="B10063" s="5" t="s">
        <v>9306</v>
      </c>
      <c r="C10063" s="5" t="s">
        <v>11</v>
      </c>
      <c r="D10063" s="5" t="s">
        <v>12</v>
      </c>
      <c r="E10063" s="5" t="s">
        <v>3962</v>
      </c>
    </row>
    <row r="10064" spans="1:5" x14ac:dyDescent="0.25">
      <c r="A10064" s="5">
        <f>10056</f>
      </c>
      <c r="B10064" s="5" t="s">
        <v>9307</v>
      </c>
      <c r="C10064" s="5" t="s">
        <v>11</v>
      </c>
      <c r="D10064" s="5" t="s">
        <v>12</v>
      </c>
      <c r="E10064" s="5" t="s">
        <v>3962</v>
      </c>
    </row>
    <row r="10065" spans="1:5" x14ac:dyDescent="0.25">
      <c r="A10065" s="5">
        <f>10057</f>
      </c>
      <c r="B10065" s="5" t="s">
        <v>9308</v>
      </c>
      <c r="C10065" s="5" t="s">
        <v>11</v>
      </c>
      <c r="D10065" s="5" t="s">
        <v>12</v>
      </c>
      <c r="E10065" s="5" t="s">
        <v>3962</v>
      </c>
    </row>
    <row r="10066" spans="1:5" x14ac:dyDescent="0.25">
      <c r="A10066" s="5">
        <f>10058</f>
      </c>
      <c r="B10066" s="5" t="s">
        <v>9309</v>
      </c>
      <c r="C10066" s="5" t="s">
        <v>11</v>
      </c>
      <c r="D10066" s="5" t="s">
        <v>12</v>
      </c>
      <c r="E10066" s="5" t="s">
        <v>3962</v>
      </c>
    </row>
    <row r="10067" spans="1:5" x14ac:dyDescent="0.25">
      <c r="A10067" s="5">
        <f>10059</f>
      </c>
      <c r="B10067" s="5" t="s">
        <v>9310</v>
      </c>
      <c r="C10067" s="5" t="s">
        <v>11</v>
      </c>
      <c r="D10067" s="5" t="s">
        <v>12</v>
      </c>
      <c r="E10067" s="5" t="s">
        <v>3962</v>
      </c>
    </row>
    <row r="10068" spans="1:5" x14ac:dyDescent="0.25">
      <c r="A10068" s="5">
        <f>10060</f>
      </c>
      <c r="B10068" s="5" t="s">
        <v>9311</v>
      </c>
      <c r="C10068" s="5" t="s">
        <v>11</v>
      </c>
      <c r="D10068" s="5" t="s">
        <v>12</v>
      </c>
      <c r="E10068" s="5" t="s">
        <v>3962</v>
      </c>
    </row>
    <row r="10069" spans="1:5" x14ac:dyDescent="0.25">
      <c r="A10069" s="5">
        <f>10061</f>
      </c>
      <c r="B10069" s="5" t="s">
        <v>9312</v>
      </c>
      <c r="C10069" s="5" t="s">
        <v>11</v>
      </c>
      <c r="D10069" s="5" t="s">
        <v>12</v>
      </c>
      <c r="E10069" s="5" t="s">
        <v>3962</v>
      </c>
    </row>
    <row r="10070" spans="1:5" x14ac:dyDescent="0.25">
      <c r="A10070" s="5">
        <f>10062</f>
      </c>
      <c r="B10070" s="5" t="s">
        <v>9313</v>
      </c>
      <c r="C10070" s="5" t="s">
        <v>11</v>
      </c>
      <c r="D10070" s="5" t="s">
        <v>12</v>
      </c>
      <c r="E10070" s="5" t="s">
        <v>3962</v>
      </c>
    </row>
    <row r="10071" spans="1:5" x14ac:dyDescent="0.25">
      <c r="A10071" s="5">
        <f>10063</f>
      </c>
      <c r="B10071" s="5" t="s">
        <v>9314</v>
      </c>
      <c r="C10071" s="5" t="s">
        <v>11</v>
      </c>
      <c r="D10071" s="5" t="s">
        <v>12</v>
      </c>
      <c r="E10071" s="5" t="s">
        <v>3962</v>
      </c>
    </row>
    <row r="10072" spans="1:5" x14ac:dyDescent="0.25">
      <c r="A10072" s="5">
        <f>10064</f>
      </c>
      <c r="B10072" s="5" t="s">
        <v>9315</v>
      </c>
      <c r="C10072" s="5" t="s">
        <v>11</v>
      </c>
      <c r="D10072" s="5" t="s">
        <v>12</v>
      </c>
      <c r="E10072" s="5" t="s">
        <v>3962</v>
      </c>
    </row>
    <row r="10073" spans="1:5" x14ac:dyDescent="0.25">
      <c r="A10073" s="5">
        <f>10065</f>
      </c>
      <c r="B10073" s="5" t="s">
        <v>9316</v>
      </c>
      <c r="C10073" s="5" t="s">
        <v>11</v>
      </c>
      <c r="D10073" s="5" t="s">
        <v>12</v>
      </c>
      <c r="E10073" s="5" t="s">
        <v>3962</v>
      </c>
    </row>
    <row r="10074" spans="1:5" x14ac:dyDescent="0.25">
      <c r="A10074" s="5">
        <f>10066</f>
      </c>
      <c r="B10074" s="5" t="s">
        <v>9317</v>
      </c>
      <c r="C10074" s="5" t="s">
        <v>11</v>
      </c>
      <c r="D10074" s="5" t="s">
        <v>12</v>
      </c>
      <c r="E10074" s="5" t="s">
        <v>3962</v>
      </c>
    </row>
    <row r="10075" spans="1:5" x14ac:dyDescent="0.25">
      <c r="A10075" s="5">
        <f>10067</f>
      </c>
      <c r="B10075" s="5" t="s">
        <v>9318</v>
      </c>
      <c r="C10075" s="5" t="s">
        <v>11</v>
      </c>
      <c r="D10075" s="5" t="s">
        <v>12</v>
      </c>
      <c r="E10075" s="5" t="s">
        <v>3962</v>
      </c>
    </row>
    <row r="10076" spans="1:5" x14ac:dyDescent="0.25">
      <c r="A10076" s="5">
        <f>10068</f>
      </c>
      <c r="B10076" s="5" t="s">
        <v>9319</v>
      </c>
      <c r="C10076" s="5" t="s">
        <v>11</v>
      </c>
      <c r="D10076" s="5" t="s">
        <v>12</v>
      </c>
      <c r="E10076" s="5" t="s">
        <v>3962</v>
      </c>
    </row>
    <row r="10077" spans="1:5" x14ac:dyDescent="0.25">
      <c r="A10077" s="5">
        <f>10069</f>
      </c>
      <c r="B10077" s="5" t="s">
        <v>9320</v>
      </c>
      <c r="C10077" s="5" t="s">
        <v>11</v>
      </c>
      <c r="D10077" s="5" t="s">
        <v>12</v>
      </c>
      <c r="E10077" s="5" t="s">
        <v>3962</v>
      </c>
    </row>
    <row r="10078" spans="1:5" x14ac:dyDescent="0.25">
      <c r="A10078" s="5">
        <f>10070</f>
      </c>
      <c r="B10078" s="5" t="s">
        <v>9321</v>
      </c>
      <c r="C10078" s="5" t="s">
        <v>11</v>
      </c>
      <c r="D10078" s="5" t="s">
        <v>12</v>
      </c>
      <c r="E10078" s="5" t="s">
        <v>3962</v>
      </c>
    </row>
    <row r="10079" spans="1:5" x14ac:dyDescent="0.25">
      <c r="A10079" s="5">
        <f>10071</f>
      </c>
      <c r="B10079" s="5" t="s">
        <v>9322</v>
      </c>
      <c r="C10079" s="5" t="s">
        <v>11</v>
      </c>
      <c r="D10079" s="5" t="s">
        <v>12</v>
      </c>
      <c r="E10079" s="5" t="s">
        <v>3962</v>
      </c>
    </row>
    <row r="10080" spans="1:5" x14ac:dyDescent="0.25">
      <c r="A10080" s="5">
        <f>10072</f>
      </c>
      <c r="B10080" s="5" t="s">
        <v>9323</v>
      </c>
      <c r="C10080" s="5" t="s">
        <v>11</v>
      </c>
      <c r="D10080" s="5" t="s">
        <v>12</v>
      </c>
      <c r="E10080" s="5" t="s">
        <v>3962</v>
      </c>
    </row>
    <row r="10081" spans="1:5" x14ac:dyDescent="0.25">
      <c r="A10081" s="5">
        <f>10073</f>
      </c>
      <c r="B10081" s="5" t="s">
        <v>9324</v>
      </c>
      <c r="C10081" s="5" t="s">
        <v>11</v>
      </c>
      <c r="D10081" s="5" t="s">
        <v>12</v>
      </c>
      <c r="E10081" s="5" t="s">
        <v>3962</v>
      </c>
    </row>
    <row r="10082" spans="1:5" x14ac:dyDescent="0.25">
      <c r="A10082" s="5">
        <f>10074</f>
      </c>
      <c r="B10082" s="5" t="s">
        <v>9325</v>
      </c>
      <c r="C10082" s="5" t="s">
        <v>11</v>
      </c>
      <c r="D10082" s="5" t="s">
        <v>12</v>
      </c>
      <c r="E10082" s="5" t="s">
        <v>3962</v>
      </c>
    </row>
    <row r="10083" spans="1:5" x14ac:dyDescent="0.25">
      <c r="A10083" s="5">
        <f>10075</f>
      </c>
      <c r="B10083" s="5" t="s">
        <v>9326</v>
      </c>
      <c r="C10083" s="5" t="s">
        <v>11</v>
      </c>
      <c r="D10083" s="5" t="s">
        <v>12</v>
      </c>
      <c r="E10083" s="5" t="s">
        <v>3962</v>
      </c>
    </row>
    <row r="10084" spans="1:5" x14ac:dyDescent="0.25">
      <c r="A10084" s="5">
        <f>10076</f>
      </c>
      <c r="B10084" s="5" t="s">
        <v>9327</v>
      </c>
      <c r="C10084" s="5" t="s">
        <v>11</v>
      </c>
      <c r="D10084" s="5" t="s">
        <v>12</v>
      </c>
      <c r="E10084" s="5" t="s">
        <v>3962</v>
      </c>
    </row>
    <row r="10085" spans="1:5" x14ac:dyDescent="0.25">
      <c r="A10085" s="5">
        <f>10077</f>
      </c>
      <c r="B10085" s="5" t="s">
        <v>9328</v>
      </c>
      <c r="C10085" s="5" t="s">
        <v>11</v>
      </c>
      <c r="D10085" s="5" t="s">
        <v>12</v>
      </c>
      <c r="E10085" s="5" t="s">
        <v>3962</v>
      </c>
    </row>
    <row r="10086" spans="1:5" x14ac:dyDescent="0.25">
      <c r="A10086" s="5">
        <f>10078</f>
      </c>
      <c r="B10086" s="5" t="s">
        <v>9329</v>
      </c>
      <c r="C10086" s="5" t="s">
        <v>11</v>
      </c>
      <c r="D10086" s="5" t="s">
        <v>12</v>
      </c>
      <c r="E10086" s="5" t="s">
        <v>3962</v>
      </c>
    </row>
    <row r="10087" spans="1:5" x14ac:dyDescent="0.25">
      <c r="A10087" s="5">
        <f>10079</f>
      </c>
      <c r="B10087" s="5" t="s">
        <v>9330</v>
      </c>
      <c r="C10087" s="5" t="s">
        <v>11</v>
      </c>
      <c r="D10087" s="5" t="s">
        <v>12</v>
      </c>
      <c r="E10087" s="5" t="s">
        <v>3962</v>
      </c>
    </row>
    <row r="10088" spans="1:5" x14ac:dyDescent="0.25">
      <c r="A10088" s="5">
        <f>10080</f>
      </c>
      <c r="B10088" s="5" t="s">
        <v>9331</v>
      </c>
      <c r="C10088" s="5" t="s">
        <v>11</v>
      </c>
      <c r="D10088" s="5" t="s">
        <v>12</v>
      </c>
      <c r="E10088" s="5" t="s">
        <v>3962</v>
      </c>
    </row>
    <row r="10089" spans="1:5" x14ac:dyDescent="0.25">
      <c r="A10089" s="5">
        <f>10081</f>
      </c>
      <c r="B10089" s="5" t="s">
        <v>9332</v>
      </c>
      <c r="C10089" s="5" t="s">
        <v>11</v>
      </c>
      <c r="D10089" s="5" t="s">
        <v>12</v>
      </c>
      <c r="E10089" s="5" t="s">
        <v>3962</v>
      </c>
    </row>
    <row r="10090" spans="1:5" x14ac:dyDescent="0.25">
      <c r="A10090" s="5">
        <f>10082</f>
      </c>
      <c r="B10090" s="5" t="s">
        <v>9333</v>
      </c>
      <c r="C10090" s="5" t="s">
        <v>11</v>
      </c>
      <c r="D10090" s="5" t="s">
        <v>12</v>
      </c>
      <c r="E10090" s="5" t="s">
        <v>3962</v>
      </c>
    </row>
    <row r="10091" spans="1:5" x14ac:dyDescent="0.25">
      <c r="A10091" s="5">
        <f>10083</f>
      </c>
      <c r="B10091" s="5" t="s">
        <v>9334</v>
      </c>
      <c r="C10091" s="5" t="s">
        <v>11</v>
      </c>
      <c r="D10091" s="5" t="s">
        <v>12</v>
      </c>
      <c r="E10091" s="5" t="s">
        <v>3962</v>
      </c>
    </row>
    <row r="10092" spans="1:5" x14ac:dyDescent="0.25">
      <c r="A10092" s="5">
        <f>10084</f>
      </c>
      <c r="B10092" s="5" t="s">
        <v>9335</v>
      </c>
      <c r="C10092" s="5" t="s">
        <v>11</v>
      </c>
      <c r="D10092" s="5" t="s">
        <v>12</v>
      </c>
      <c r="E10092" s="5" t="s">
        <v>3962</v>
      </c>
    </row>
    <row r="10093" spans="1:5" x14ac:dyDescent="0.25">
      <c r="A10093" s="5">
        <f>10085</f>
      </c>
      <c r="B10093" s="5" t="s">
        <v>9336</v>
      </c>
      <c r="C10093" s="5" t="s">
        <v>11</v>
      </c>
      <c r="D10093" s="5" t="s">
        <v>12</v>
      </c>
      <c r="E10093" s="5" t="s">
        <v>3962</v>
      </c>
    </row>
    <row r="10094" spans="1:5" x14ac:dyDescent="0.25">
      <c r="A10094" s="5">
        <f>10086</f>
      </c>
      <c r="B10094" s="5" t="s">
        <v>9337</v>
      </c>
      <c r="C10094" s="5" t="s">
        <v>11</v>
      </c>
      <c r="D10094" s="5" t="s">
        <v>12</v>
      </c>
      <c r="E10094" s="5" t="s">
        <v>3962</v>
      </c>
    </row>
    <row r="10095" spans="1:5" x14ac:dyDescent="0.25">
      <c r="A10095" s="5">
        <f>10087</f>
      </c>
      <c r="B10095" s="5" t="s">
        <v>9338</v>
      </c>
      <c r="C10095" s="5" t="s">
        <v>11</v>
      </c>
      <c r="D10095" s="5" t="s">
        <v>12</v>
      </c>
      <c r="E10095" s="5" t="s">
        <v>3962</v>
      </c>
    </row>
    <row r="10096" spans="1:5" x14ac:dyDescent="0.25">
      <c r="A10096" s="5">
        <f>10088</f>
      </c>
      <c r="B10096" s="5" t="s">
        <v>9339</v>
      </c>
      <c r="C10096" s="5" t="s">
        <v>11</v>
      </c>
      <c r="D10096" s="5" t="s">
        <v>12</v>
      </c>
      <c r="E10096" s="5" t="s">
        <v>3962</v>
      </c>
    </row>
    <row r="10097" spans="1:5" x14ac:dyDescent="0.25">
      <c r="A10097" s="5">
        <f>10089</f>
      </c>
      <c r="B10097" s="5" t="s">
        <v>9340</v>
      </c>
      <c r="C10097" s="5" t="s">
        <v>11</v>
      </c>
      <c r="D10097" s="5" t="s">
        <v>12</v>
      </c>
      <c r="E10097" s="5" t="s">
        <v>3962</v>
      </c>
    </row>
    <row r="10098" spans="1:5" x14ac:dyDescent="0.25">
      <c r="A10098" s="5">
        <f>10090</f>
      </c>
      <c r="B10098" s="5" t="s">
        <v>9341</v>
      </c>
      <c r="C10098" s="5" t="s">
        <v>11</v>
      </c>
      <c r="D10098" s="5" t="s">
        <v>12</v>
      </c>
      <c r="E10098" s="5" t="s">
        <v>3962</v>
      </c>
    </row>
    <row r="10099" spans="1:5" x14ac:dyDescent="0.25">
      <c r="A10099" s="5">
        <f>10091</f>
      </c>
      <c r="B10099" s="5" t="s">
        <v>9342</v>
      </c>
      <c r="C10099" s="5" t="s">
        <v>11</v>
      </c>
      <c r="D10099" s="5" t="s">
        <v>12</v>
      </c>
      <c r="E10099" s="5" t="s">
        <v>3962</v>
      </c>
    </row>
    <row r="10100" spans="1:5" x14ac:dyDescent="0.25">
      <c r="A10100" s="5">
        <f>10092</f>
      </c>
      <c r="B10100" s="5" t="s">
        <v>9343</v>
      </c>
      <c r="C10100" s="5" t="s">
        <v>11</v>
      </c>
      <c r="D10100" s="5" t="s">
        <v>12</v>
      </c>
      <c r="E10100" s="5" t="s">
        <v>3962</v>
      </c>
    </row>
    <row r="10101" spans="1:5" x14ac:dyDescent="0.25">
      <c r="A10101" s="5">
        <f>10093</f>
      </c>
      <c r="B10101" s="5" t="s">
        <v>9344</v>
      </c>
      <c r="C10101" s="5" t="s">
        <v>11</v>
      </c>
      <c r="D10101" s="5" t="s">
        <v>12</v>
      </c>
      <c r="E10101" s="5" t="s">
        <v>3962</v>
      </c>
    </row>
    <row r="10102" spans="1:5" x14ac:dyDescent="0.25">
      <c r="A10102" s="5">
        <f>10094</f>
      </c>
      <c r="B10102" s="5" t="s">
        <v>9345</v>
      </c>
      <c r="C10102" s="5" t="s">
        <v>11</v>
      </c>
      <c r="D10102" s="5" t="s">
        <v>12</v>
      </c>
      <c r="E10102" s="5" t="s">
        <v>3962</v>
      </c>
    </row>
    <row r="10103" spans="1:5" x14ac:dyDescent="0.25">
      <c r="A10103" s="5">
        <f>10095</f>
      </c>
      <c r="B10103" s="5" t="s">
        <v>9346</v>
      </c>
      <c r="C10103" s="5" t="s">
        <v>11</v>
      </c>
      <c r="D10103" s="5" t="s">
        <v>12</v>
      </c>
      <c r="E10103" s="5" t="s">
        <v>3962</v>
      </c>
    </row>
    <row r="10104" spans="1:5" x14ac:dyDescent="0.25">
      <c r="A10104" s="5">
        <f>10096</f>
      </c>
      <c r="B10104" s="5" t="s">
        <v>9347</v>
      </c>
      <c r="C10104" s="5" t="s">
        <v>11</v>
      </c>
      <c r="D10104" s="5" t="s">
        <v>12</v>
      </c>
      <c r="E10104" s="5" t="s">
        <v>3962</v>
      </c>
    </row>
    <row r="10105" spans="1:5" x14ac:dyDescent="0.25">
      <c r="A10105" s="5">
        <f>10097</f>
      </c>
      <c r="B10105" s="5" t="s">
        <v>9348</v>
      </c>
      <c r="C10105" s="5" t="s">
        <v>11</v>
      </c>
      <c r="D10105" s="5" t="s">
        <v>12</v>
      </c>
      <c r="E10105" s="5" t="s">
        <v>3962</v>
      </c>
    </row>
    <row r="10106" spans="1:5" x14ac:dyDescent="0.25">
      <c r="A10106" s="5">
        <f>10098</f>
      </c>
      <c r="B10106" s="5" t="s">
        <v>9349</v>
      </c>
      <c r="C10106" s="5" t="s">
        <v>11</v>
      </c>
      <c r="D10106" s="5" t="s">
        <v>12</v>
      </c>
      <c r="E10106" s="5" t="s">
        <v>3962</v>
      </c>
    </row>
    <row r="10107" spans="1:5" x14ac:dyDescent="0.25">
      <c r="A10107" s="5">
        <f>10099</f>
      </c>
      <c r="B10107" s="5" t="s">
        <v>9350</v>
      </c>
      <c r="C10107" s="5" t="s">
        <v>11</v>
      </c>
      <c r="D10107" s="5" t="s">
        <v>12</v>
      </c>
      <c r="E10107" s="5" t="s">
        <v>3962</v>
      </c>
    </row>
    <row r="10108" spans="1:5" x14ac:dyDescent="0.25">
      <c r="A10108" s="5">
        <f>10100</f>
      </c>
      <c r="B10108" s="5" t="s">
        <v>9351</v>
      </c>
      <c r="C10108" s="5" t="s">
        <v>11</v>
      </c>
      <c r="D10108" s="5" t="s">
        <v>12</v>
      </c>
      <c r="E10108" s="5" t="s">
        <v>3962</v>
      </c>
    </row>
    <row r="10109" spans="1:5" x14ac:dyDescent="0.25">
      <c r="A10109" s="5">
        <f>10101</f>
      </c>
      <c r="B10109" s="5" t="s">
        <v>9352</v>
      </c>
      <c r="C10109" s="5" t="s">
        <v>11</v>
      </c>
      <c r="D10109" s="5" t="s">
        <v>12</v>
      </c>
      <c r="E10109" s="5" t="s">
        <v>3962</v>
      </c>
    </row>
    <row r="10110" spans="1:5" x14ac:dyDescent="0.25">
      <c r="A10110" s="5">
        <f>10102</f>
      </c>
      <c r="B10110" s="5" t="s">
        <v>9353</v>
      </c>
      <c r="C10110" s="5" t="s">
        <v>11</v>
      </c>
      <c r="D10110" s="5" t="s">
        <v>12</v>
      </c>
      <c r="E10110" s="5" t="s">
        <v>3962</v>
      </c>
    </row>
    <row r="10111" spans="1:5" x14ac:dyDescent="0.25">
      <c r="A10111" s="5">
        <f>10103</f>
      </c>
      <c r="B10111" s="5" t="s">
        <v>9354</v>
      </c>
      <c r="C10111" s="5" t="s">
        <v>11</v>
      </c>
      <c r="D10111" s="5" t="s">
        <v>12</v>
      </c>
      <c r="E10111" s="5" t="s">
        <v>3962</v>
      </c>
    </row>
    <row r="10112" spans="1:5" x14ac:dyDescent="0.25">
      <c r="A10112" s="5">
        <f>10104</f>
      </c>
      <c r="B10112" s="5" t="s">
        <v>9355</v>
      </c>
      <c r="C10112" s="5" t="s">
        <v>11</v>
      </c>
      <c r="D10112" s="5" t="s">
        <v>12</v>
      </c>
      <c r="E10112" s="5" t="s">
        <v>3962</v>
      </c>
    </row>
    <row r="10113" spans="1:5" x14ac:dyDescent="0.25">
      <c r="A10113" s="5">
        <f>10105</f>
      </c>
      <c r="B10113" s="5" t="s">
        <v>9356</v>
      </c>
      <c r="C10113" s="5" t="s">
        <v>11</v>
      </c>
      <c r="D10113" s="5" t="s">
        <v>12</v>
      </c>
      <c r="E10113" s="5" t="s">
        <v>3962</v>
      </c>
    </row>
    <row r="10114" spans="1:5" x14ac:dyDescent="0.25">
      <c r="A10114" s="5">
        <f>10106</f>
      </c>
      <c r="B10114" s="5" t="s">
        <v>9357</v>
      </c>
      <c r="C10114" s="5" t="s">
        <v>11</v>
      </c>
      <c r="D10114" s="5" t="s">
        <v>12</v>
      </c>
      <c r="E10114" s="5" t="s">
        <v>3962</v>
      </c>
    </row>
    <row r="10115" spans="1:5" x14ac:dyDescent="0.25">
      <c r="A10115" s="5">
        <f>10107</f>
      </c>
      <c r="B10115" s="5" t="s">
        <v>9358</v>
      </c>
      <c r="C10115" s="5" t="s">
        <v>11</v>
      </c>
      <c r="D10115" s="5" t="s">
        <v>12</v>
      </c>
      <c r="E10115" s="5" t="s">
        <v>3962</v>
      </c>
    </row>
    <row r="10116" spans="1:5" x14ac:dyDescent="0.25">
      <c r="A10116" s="5">
        <f>10108</f>
      </c>
      <c r="B10116" s="5" t="s">
        <v>9359</v>
      </c>
      <c r="C10116" s="5" t="s">
        <v>11</v>
      </c>
      <c r="D10116" s="5" t="s">
        <v>12</v>
      </c>
      <c r="E10116" s="5" t="s">
        <v>3962</v>
      </c>
    </row>
    <row r="10117" spans="1:5" x14ac:dyDescent="0.25">
      <c r="A10117" s="5">
        <f>10109</f>
      </c>
      <c r="B10117" s="5" t="s">
        <v>9360</v>
      </c>
      <c r="C10117" s="5" t="s">
        <v>11</v>
      </c>
      <c r="D10117" s="5" t="s">
        <v>12</v>
      </c>
      <c r="E10117" s="5" t="s">
        <v>3962</v>
      </c>
    </row>
    <row r="10118" spans="1:5" x14ac:dyDescent="0.25">
      <c r="A10118" s="5">
        <f>10110</f>
      </c>
      <c r="B10118" s="5" t="s">
        <v>9361</v>
      </c>
      <c r="C10118" s="5" t="s">
        <v>11</v>
      </c>
      <c r="D10118" s="5" t="s">
        <v>12</v>
      </c>
      <c r="E10118" s="5" t="s">
        <v>3962</v>
      </c>
    </row>
    <row r="10119" spans="1:5" x14ac:dyDescent="0.25">
      <c r="A10119" s="5">
        <f>10111</f>
      </c>
      <c r="B10119" s="5" t="s">
        <v>9362</v>
      </c>
      <c r="C10119" s="5" t="s">
        <v>11</v>
      </c>
      <c r="D10119" s="5" t="s">
        <v>12</v>
      </c>
      <c r="E10119" s="5" t="s">
        <v>3962</v>
      </c>
    </row>
    <row r="10120" spans="1:5" x14ac:dyDescent="0.25">
      <c r="A10120" s="5">
        <f>10112</f>
      </c>
      <c r="B10120" s="5" t="s">
        <v>9363</v>
      </c>
      <c r="C10120" s="5" t="s">
        <v>11</v>
      </c>
      <c r="D10120" s="5" t="s">
        <v>12</v>
      </c>
      <c r="E10120" s="5" t="s">
        <v>3962</v>
      </c>
    </row>
    <row r="10121" spans="1:5" x14ac:dyDescent="0.25">
      <c r="A10121" s="5">
        <f>10113</f>
      </c>
      <c r="B10121" s="5" t="s">
        <v>9364</v>
      </c>
      <c r="C10121" s="5" t="s">
        <v>11</v>
      </c>
      <c r="D10121" s="5" t="s">
        <v>12</v>
      </c>
      <c r="E10121" s="5" t="s">
        <v>3962</v>
      </c>
    </row>
    <row r="10122" spans="1:5" x14ac:dyDescent="0.25">
      <c r="A10122" s="5">
        <f>10114</f>
      </c>
      <c r="B10122" s="5" t="s">
        <v>9365</v>
      </c>
      <c r="C10122" s="5" t="s">
        <v>11</v>
      </c>
      <c r="D10122" s="5" t="s">
        <v>12</v>
      </c>
      <c r="E10122" s="5" t="s">
        <v>3962</v>
      </c>
    </row>
    <row r="10123" spans="1:5" x14ac:dyDescent="0.25">
      <c r="A10123" s="5">
        <f>10115</f>
      </c>
      <c r="B10123" s="5" t="s">
        <v>9366</v>
      </c>
      <c r="C10123" s="5" t="s">
        <v>11</v>
      </c>
      <c r="D10123" s="5" t="s">
        <v>12</v>
      </c>
      <c r="E10123" s="5" t="s">
        <v>3962</v>
      </c>
    </row>
    <row r="10124" spans="1:5" x14ac:dyDescent="0.25">
      <c r="A10124" s="5">
        <f>10116</f>
      </c>
      <c r="B10124" s="5" t="s">
        <v>9367</v>
      </c>
      <c r="C10124" s="5" t="s">
        <v>11</v>
      </c>
      <c r="D10124" s="5" t="s">
        <v>12</v>
      </c>
      <c r="E10124" s="5" t="s">
        <v>3962</v>
      </c>
    </row>
    <row r="10125" spans="1:5" x14ac:dyDescent="0.25">
      <c r="A10125" s="5">
        <f>10117</f>
      </c>
      <c r="B10125" s="5" t="s">
        <v>9368</v>
      </c>
      <c r="C10125" s="5" t="s">
        <v>11</v>
      </c>
      <c r="D10125" s="5" t="s">
        <v>12</v>
      </c>
      <c r="E10125" s="5" t="s">
        <v>3962</v>
      </c>
    </row>
    <row r="10126" spans="1:5" x14ac:dyDescent="0.25">
      <c r="A10126" s="5">
        <f>10118</f>
      </c>
      <c r="B10126" s="5" t="s">
        <v>9369</v>
      </c>
      <c r="C10126" s="5" t="s">
        <v>11</v>
      </c>
      <c r="D10126" s="5" t="s">
        <v>12</v>
      </c>
      <c r="E10126" s="5" t="s">
        <v>3962</v>
      </c>
    </row>
    <row r="10127" spans="1:5" x14ac:dyDescent="0.25">
      <c r="A10127" s="5">
        <f>10119</f>
      </c>
      <c r="B10127" s="5" t="s">
        <v>9370</v>
      </c>
      <c r="C10127" s="5" t="s">
        <v>11</v>
      </c>
      <c r="D10127" s="5" t="s">
        <v>12</v>
      </c>
      <c r="E10127" s="5" t="s">
        <v>3962</v>
      </c>
    </row>
    <row r="10128" spans="1:5" x14ac:dyDescent="0.25">
      <c r="A10128" s="5">
        <f>10120</f>
      </c>
      <c r="B10128" s="5" t="s">
        <v>9371</v>
      </c>
      <c r="C10128" s="5" t="s">
        <v>11</v>
      </c>
      <c r="D10128" s="5" t="s">
        <v>12</v>
      </c>
      <c r="E10128" s="5" t="s">
        <v>3962</v>
      </c>
    </row>
    <row r="10129" spans="1:5" x14ac:dyDescent="0.25">
      <c r="A10129" s="5">
        <f>10121</f>
      </c>
      <c r="B10129" s="5" t="s">
        <v>9372</v>
      </c>
      <c r="C10129" s="5" t="s">
        <v>11</v>
      </c>
      <c r="D10129" s="5" t="s">
        <v>12</v>
      </c>
      <c r="E10129" s="5" t="s">
        <v>3962</v>
      </c>
    </row>
    <row r="10130" spans="1:5" x14ac:dyDescent="0.25">
      <c r="A10130" s="5">
        <f>10122</f>
      </c>
      <c r="B10130" s="5" t="s">
        <v>9373</v>
      </c>
      <c r="C10130" s="5" t="s">
        <v>11</v>
      </c>
      <c r="D10130" s="5" t="s">
        <v>12</v>
      </c>
      <c r="E10130" s="5" t="s">
        <v>3962</v>
      </c>
    </row>
    <row r="10131" spans="1:5" x14ac:dyDescent="0.25">
      <c r="A10131" s="5">
        <f>10123</f>
      </c>
      <c r="B10131" s="5" t="s">
        <v>9374</v>
      </c>
      <c r="C10131" s="5" t="s">
        <v>11</v>
      </c>
      <c r="D10131" s="5" t="s">
        <v>12</v>
      </c>
      <c r="E10131" s="5" t="s">
        <v>3962</v>
      </c>
    </row>
    <row r="10132" spans="1:5" x14ac:dyDescent="0.25">
      <c r="A10132" s="5">
        <f>10124</f>
      </c>
      <c r="B10132" s="5" t="s">
        <v>9375</v>
      </c>
      <c r="C10132" s="5" t="s">
        <v>11</v>
      </c>
      <c r="D10132" s="5" t="s">
        <v>12</v>
      </c>
      <c r="E10132" s="5" t="s">
        <v>3962</v>
      </c>
    </row>
    <row r="10133" spans="1:5" x14ac:dyDescent="0.25">
      <c r="A10133" s="5">
        <f>10125</f>
      </c>
      <c r="B10133" s="5" t="s">
        <v>9376</v>
      </c>
      <c r="C10133" s="5" t="s">
        <v>11</v>
      </c>
      <c r="D10133" s="5" t="s">
        <v>12</v>
      </c>
      <c r="E10133" s="5" t="s">
        <v>3962</v>
      </c>
    </row>
    <row r="10134" spans="1:5" x14ac:dyDescent="0.25">
      <c r="A10134" s="5">
        <f>10126</f>
      </c>
      <c r="B10134" s="5" t="s">
        <v>9377</v>
      </c>
      <c r="C10134" s="5" t="s">
        <v>11</v>
      </c>
      <c r="D10134" s="5" t="s">
        <v>12</v>
      </c>
      <c r="E10134" s="5" t="s">
        <v>3962</v>
      </c>
    </row>
    <row r="10135" spans="1:5" x14ac:dyDescent="0.25">
      <c r="A10135" s="5">
        <f>10127</f>
      </c>
      <c r="B10135" s="5" t="s">
        <v>9378</v>
      </c>
      <c r="C10135" s="5" t="s">
        <v>11</v>
      </c>
      <c r="D10135" s="5" t="s">
        <v>12</v>
      </c>
      <c r="E10135" s="5" t="s">
        <v>3962</v>
      </c>
    </row>
    <row r="10136" spans="1:5" x14ac:dyDescent="0.25">
      <c r="A10136" s="5">
        <f>10128</f>
      </c>
      <c r="B10136" s="5" t="s">
        <v>9379</v>
      </c>
      <c r="C10136" s="5" t="s">
        <v>11</v>
      </c>
      <c r="D10136" s="5" t="s">
        <v>12</v>
      </c>
      <c r="E10136" s="5" t="s">
        <v>3962</v>
      </c>
    </row>
    <row r="10137" spans="1:5" x14ac:dyDescent="0.25">
      <c r="A10137" s="5">
        <f>10129</f>
      </c>
      <c r="B10137" s="5" t="s">
        <v>9380</v>
      </c>
      <c r="C10137" s="5" t="s">
        <v>11</v>
      </c>
      <c r="D10137" s="5" t="s">
        <v>12</v>
      </c>
      <c r="E10137" s="5" t="s">
        <v>3962</v>
      </c>
    </row>
    <row r="10138" spans="1:5" x14ac:dyDescent="0.25">
      <c r="A10138" s="5">
        <f>10130</f>
      </c>
      <c r="B10138" s="5" t="s">
        <v>9381</v>
      </c>
      <c r="C10138" s="5" t="s">
        <v>11</v>
      </c>
      <c r="D10138" s="5" t="s">
        <v>12</v>
      </c>
      <c r="E10138" s="5" t="s">
        <v>3962</v>
      </c>
    </row>
    <row r="10139" spans="1:5" x14ac:dyDescent="0.25">
      <c r="A10139" s="5">
        <f>10131</f>
      </c>
      <c r="B10139" s="5" t="s">
        <v>9382</v>
      </c>
      <c r="C10139" s="5" t="s">
        <v>11</v>
      </c>
      <c r="D10139" s="5" t="s">
        <v>12</v>
      </c>
      <c r="E10139" s="5" t="s">
        <v>3962</v>
      </c>
    </row>
    <row r="10140" spans="1:5" x14ac:dyDescent="0.25">
      <c r="A10140" s="5">
        <f>10132</f>
      </c>
      <c r="B10140" s="5" t="s">
        <v>9383</v>
      </c>
      <c r="C10140" s="5" t="s">
        <v>11</v>
      </c>
      <c r="D10140" s="5" t="s">
        <v>12</v>
      </c>
      <c r="E10140" s="5" t="s">
        <v>3962</v>
      </c>
    </row>
    <row r="10141" spans="1:5" x14ac:dyDescent="0.25">
      <c r="A10141" s="5">
        <f>10133</f>
      </c>
      <c r="B10141" s="5" t="s">
        <v>9384</v>
      </c>
      <c r="C10141" s="5" t="s">
        <v>11</v>
      </c>
      <c r="D10141" s="5" t="s">
        <v>12</v>
      </c>
      <c r="E10141" s="5" t="s">
        <v>3962</v>
      </c>
    </row>
    <row r="10142" spans="1:5" x14ac:dyDescent="0.25">
      <c r="A10142" s="5">
        <f>10134</f>
      </c>
      <c r="B10142" s="5" t="s">
        <v>9385</v>
      </c>
      <c r="C10142" s="5" t="s">
        <v>11</v>
      </c>
      <c r="D10142" s="5" t="s">
        <v>12</v>
      </c>
      <c r="E10142" s="5" t="s">
        <v>3962</v>
      </c>
    </row>
    <row r="10143" spans="1:5" x14ac:dyDescent="0.25">
      <c r="A10143" s="5">
        <f>10135</f>
      </c>
      <c r="B10143" s="5" t="s">
        <v>9386</v>
      </c>
      <c r="C10143" s="5" t="s">
        <v>11</v>
      </c>
      <c r="D10143" s="5" t="s">
        <v>12</v>
      </c>
      <c r="E10143" s="5" t="s">
        <v>3962</v>
      </c>
    </row>
    <row r="10144" spans="1:5" x14ac:dyDescent="0.25">
      <c r="A10144" s="5">
        <f>10136</f>
      </c>
      <c r="B10144" s="5" t="s">
        <v>9387</v>
      </c>
      <c r="C10144" s="5" t="s">
        <v>11</v>
      </c>
      <c r="D10144" s="5" t="s">
        <v>12</v>
      </c>
      <c r="E10144" s="5" t="s">
        <v>3962</v>
      </c>
    </row>
    <row r="10145" spans="1:5" x14ac:dyDescent="0.25">
      <c r="A10145" s="5">
        <f>10137</f>
      </c>
      <c r="B10145" s="5" t="s">
        <v>9388</v>
      </c>
      <c r="C10145" s="5" t="s">
        <v>11</v>
      </c>
      <c r="D10145" s="5" t="s">
        <v>12</v>
      </c>
      <c r="E10145" s="5" t="s">
        <v>3962</v>
      </c>
    </row>
    <row r="10146" spans="1:5" x14ac:dyDescent="0.25">
      <c r="A10146" s="5">
        <f>10138</f>
      </c>
      <c r="B10146" s="5" t="s">
        <v>9389</v>
      </c>
      <c r="C10146" s="5" t="s">
        <v>11</v>
      </c>
      <c r="D10146" s="5" t="s">
        <v>12</v>
      </c>
      <c r="E10146" s="5" t="s">
        <v>3962</v>
      </c>
    </row>
    <row r="10147" spans="1:5" x14ac:dyDescent="0.25">
      <c r="A10147" s="5">
        <f>10139</f>
      </c>
      <c r="B10147" s="5" t="s">
        <v>9390</v>
      </c>
      <c r="C10147" s="5" t="s">
        <v>11</v>
      </c>
      <c r="D10147" s="5" t="s">
        <v>12</v>
      </c>
      <c r="E10147" s="5" t="s">
        <v>3962</v>
      </c>
    </row>
    <row r="10148" spans="1:5" x14ac:dyDescent="0.25">
      <c r="A10148" s="5">
        <f>10140</f>
      </c>
      <c r="B10148" s="5" t="s">
        <v>9391</v>
      </c>
      <c r="C10148" s="5" t="s">
        <v>11</v>
      </c>
      <c r="D10148" s="5" t="s">
        <v>12</v>
      </c>
      <c r="E10148" s="5" t="s">
        <v>3962</v>
      </c>
    </row>
    <row r="10149" spans="1:5" x14ac:dyDescent="0.25">
      <c r="A10149" s="5">
        <f>10141</f>
      </c>
      <c r="B10149" s="5" t="s">
        <v>9392</v>
      </c>
      <c r="C10149" s="5" t="s">
        <v>11</v>
      </c>
      <c r="D10149" s="5" t="s">
        <v>12</v>
      </c>
      <c r="E10149" s="5" t="s">
        <v>3962</v>
      </c>
    </row>
    <row r="10150" spans="1:5" x14ac:dyDescent="0.25">
      <c r="A10150" s="5">
        <f>10142</f>
      </c>
      <c r="B10150" s="5" t="s">
        <v>9393</v>
      </c>
      <c r="C10150" s="5" t="s">
        <v>11</v>
      </c>
      <c r="D10150" s="5" t="s">
        <v>12</v>
      </c>
      <c r="E10150" s="5" t="s">
        <v>3962</v>
      </c>
    </row>
    <row r="10151" spans="1:5" x14ac:dyDescent="0.25">
      <c r="A10151" s="5">
        <f>10143</f>
      </c>
      <c r="B10151" s="5" t="s">
        <v>9394</v>
      </c>
      <c r="C10151" s="5" t="s">
        <v>11</v>
      </c>
      <c r="D10151" s="5" t="s">
        <v>12</v>
      </c>
      <c r="E10151" s="5" t="s">
        <v>3962</v>
      </c>
    </row>
    <row r="10152" spans="1:5" x14ac:dyDescent="0.25">
      <c r="A10152" s="5">
        <f>10144</f>
      </c>
      <c r="B10152" s="5" t="s">
        <v>9395</v>
      </c>
      <c r="C10152" s="5" t="s">
        <v>11</v>
      </c>
      <c r="D10152" s="5" t="s">
        <v>12</v>
      </c>
      <c r="E10152" s="5" t="s">
        <v>3962</v>
      </c>
    </row>
    <row r="10153" spans="1:5" x14ac:dyDescent="0.25">
      <c r="A10153" s="5">
        <f>10145</f>
      </c>
      <c r="B10153" s="5" t="s">
        <v>9396</v>
      </c>
      <c r="C10153" s="5" t="s">
        <v>11</v>
      </c>
      <c r="D10153" s="5" t="s">
        <v>12</v>
      </c>
      <c r="E10153" s="5" t="s">
        <v>3962</v>
      </c>
    </row>
    <row r="10154" spans="1:5" x14ac:dyDescent="0.25">
      <c r="A10154" s="5">
        <f>10146</f>
      </c>
      <c r="B10154" s="5" t="s">
        <v>9397</v>
      </c>
      <c r="C10154" s="5" t="s">
        <v>11</v>
      </c>
      <c r="D10154" s="5" t="s">
        <v>12</v>
      </c>
      <c r="E10154" s="5" t="s">
        <v>3962</v>
      </c>
    </row>
    <row r="10155" spans="1:5" x14ac:dyDescent="0.25">
      <c r="A10155" s="5">
        <f>10147</f>
      </c>
      <c r="B10155" s="5" t="s">
        <v>9398</v>
      </c>
      <c r="C10155" s="5" t="s">
        <v>11</v>
      </c>
      <c r="D10155" s="5" t="s">
        <v>12</v>
      </c>
      <c r="E10155" s="5" t="s">
        <v>3962</v>
      </c>
    </row>
    <row r="10156" spans="1:5" x14ac:dyDescent="0.25">
      <c r="A10156" s="5">
        <f>10148</f>
      </c>
      <c r="B10156" s="5" t="s">
        <v>9399</v>
      </c>
      <c r="C10156" s="5" t="s">
        <v>11</v>
      </c>
      <c r="D10156" s="5" t="s">
        <v>12</v>
      </c>
      <c r="E10156" s="5" t="s">
        <v>3962</v>
      </c>
    </row>
    <row r="10157" spans="1:5" x14ac:dyDescent="0.25">
      <c r="A10157" s="5">
        <f>10149</f>
      </c>
      <c r="B10157" s="5" t="s">
        <v>9400</v>
      </c>
      <c r="C10157" s="5" t="s">
        <v>11</v>
      </c>
      <c r="D10157" s="5" t="s">
        <v>12</v>
      </c>
      <c r="E10157" s="5" t="s">
        <v>3962</v>
      </c>
    </row>
    <row r="10158" spans="1:5" x14ac:dyDescent="0.25">
      <c r="A10158" s="5">
        <f>10150</f>
      </c>
      <c r="B10158" s="5" t="s">
        <v>9401</v>
      </c>
      <c r="C10158" s="5" t="s">
        <v>11</v>
      </c>
      <c r="D10158" s="5" t="s">
        <v>12</v>
      </c>
      <c r="E10158" s="5" t="s">
        <v>3962</v>
      </c>
    </row>
    <row r="10159" spans="1:5" x14ac:dyDescent="0.25">
      <c r="A10159" s="5">
        <f>10151</f>
      </c>
      <c r="B10159" s="5" t="s">
        <v>9402</v>
      </c>
      <c r="C10159" s="5" t="s">
        <v>11</v>
      </c>
      <c r="D10159" s="5" t="s">
        <v>12</v>
      </c>
      <c r="E10159" s="5" t="s">
        <v>3962</v>
      </c>
    </row>
    <row r="10160" spans="1:5" x14ac:dyDescent="0.25">
      <c r="A10160" s="5">
        <f>10152</f>
      </c>
      <c r="B10160" s="5" t="s">
        <v>9403</v>
      </c>
      <c r="C10160" s="5" t="s">
        <v>11</v>
      </c>
      <c r="D10160" s="5" t="s">
        <v>12</v>
      </c>
      <c r="E10160" s="5" t="s">
        <v>3962</v>
      </c>
    </row>
    <row r="10161" spans="1:5" x14ac:dyDescent="0.25">
      <c r="A10161" s="5">
        <f>10153</f>
      </c>
      <c r="B10161" s="5" t="s">
        <v>9404</v>
      </c>
      <c r="C10161" s="5" t="s">
        <v>11</v>
      </c>
      <c r="D10161" s="5" t="s">
        <v>12</v>
      </c>
      <c r="E10161" s="5" t="s">
        <v>3962</v>
      </c>
    </row>
    <row r="10162" spans="1:5" x14ac:dyDescent="0.25">
      <c r="A10162" s="5">
        <f>10154</f>
      </c>
      <c r="B10162" s="5" t="s">
        <v>9405</v>
      </c>
      <c r="C10162" s="5" t="s">
        <v>11</v>
      </c>
      <c r="D10162" s="5" t="s">
        <v>12</v>
      </c>
      <c r="E10162" s="5" t="s">
        <v>3962</v>
      </c>
    </row>
    <row r="10163" spans="1:5" x14ac:dyDescent="0.25">
      <c r="A10163" s="5">
        <f>10155</f>
      </c>
      <c r="B10163" s="5" t="s">
        <v>9406</v>
      </c>
      <c r="C10163" s="5" t="s">
        <v>11</v>
      </c>
      <c r="D10163" s="5" t="s">
        <v>12</v>
      </c>
      <c r="E10163" s="5" t="s">
        <v>3962</v>
      </c>
    </row>
    <row r="10164" spans="1:5" x14ac:dyDescent="0.25">
      <c r="A10164" s="5">
        <f>10156</f>
      </c>
      <c r="B10164" s="5" t="s">
        <v>9407</v>
      </c>
      <c r="C10164" s="5" t="s">
        <v>11</v>
      </c>
      <c r="D10164" s="5" t="s">
        <v>12</v>
      </c>
      <c r="E10164" s="5" t="s">
        <v>3962</v>
      </c>
    </row>
    <row r="10165" spans="1:5" x14ac:dyDescent="0.25">
      <c r="A10165" s="5">
        <f>10157</f>
      </c>
      <c r="B10165" s="5" t="s">
        <v>9408</v>
      </c>
      <c r="C10165" s="5" t="s">
        <v>11</v>
      </c>
      <c r="D10165" s="5" t="s">
        <v>12</v>
      </c>
      <c r="E10165" s="5" t="s">
        <v>3962</v>
      </c>
    </row>
    <row r="10166" spans="1:5" x14ac:dyDescent="0.25">
      <c r="A10166" s="5">
        <f>10158</f>
      </c>
      <c r="B10166" s="5" t="s">
        <v>9409</v>
      </c>
      <c r="C10166" s="5" t="s">
        <v>11</v>
      </c>
      <c r="D10166" s="5" t="s">
        <v>12</v>
      </c>
      <c r="E10166" s="5" t="s">
        <v>3962</v>
      </c>
    </row>
    <row r="10167" spans="1:5" x14ac:dyDescent="0.25">
      <c r="A10167" s="5">
        <f>10159</f>
      </c>
      <c r="B10167" s="5" t="s">
        <v>9410</v>
      </c>
      <c r="C10167" s="5" t="s">
        <v>11</v>
      </c>
      <c r="D10167" s="5" t="s">
        <v>12</v>
      </c>
      <c r="E10167" s="5" t="s">
        <v>3962</v>
      </c>
    </row>
    <row r="10168" spans="1:5" x14ac:dyDescent="0.25">
      <c r="A10168" s="5">
        <f>10160</f>
      </c>
      <c r="B10168" s="5" t="s">
        <v>9411</v>
      </c>
      <c r="C10168" s="5" t="s">
        <v>11</v>
      </c>
      <c r="D10168" s="5" t="s">
        <v>12</v>
      </c>
      <c r="E10168" s="5" t="s">
        <v>3962</v>
      </c>
    </row>
    <row r="10169" spans="1:5" x14ac:dyDescent="0.25">
      <c r="A10169" s="5">
        <f>10161</f>
      </c>
      <c r="B10169" s="5" t="s">
        <v>9412</v>
      </c>
      <c r="C10169" s="5" t="s">
        <v>11</v>
      </c>
      <c r="D10169" s="5" t="s">
        <v>12</v>
      </c>
      <c r="E10169" s="5" t="s">
        <v>3962</v>
      </c>
    </row>
    <row r="10170" spans="1:5" x14ac:dyDescent="0.25">
      <c r="A10170" s="5">
        <f>10162</f>
      </c>
      <c r="B10170" s="5" t="s">
        <v>9413</v>
      </c>
      <c r="C10170" s="5" t="s">
        <v>11</v>
      </c>
      <c r="D10170" s="5" t="s">
        <v>12</v>
      </c>
      <c r="E10170" s="5" t="s">
        <v>3962</v>
      </c>
    </row>
    <row r="10171" spans="1:5" x14ac:dyDescent="0.25">
      <c r="A10171" s="5">
        <f>10163</f>
      </c>
      <c r="B10171" s="5" t="s">
        <v>9414</v>
      </c>
      <c r="C10171" s="5" t="s">
        <v>11</v>
      </c>
      <c r="D10171" s="5" t="s">
        <v>12</v>
      </c>
      <c r="E10171" s="5" t="s">
        <v>3962</v>
      </c>
    </row>
    <row r="10172" spans="1:5" x14ac:dyDescent="0.25">
      <c r="A10172" s="5">
        <f>10164</f>
      </c>
      <c r="B10172" s="5" t="s">
        <v>9415</v>
      </c>
      <c r="C10172" s="5" t="s">
        <v>11</v>
      </c>
      <c r="D10172" s="5" t="s">
        <v>12</v>
      </c>
      <c r="E10172" s="5" t="s">
        <v>3962</v>
      </c>
    </row>
    <row r="10173" spans="1:5" x14ac:dyDescent="0.25">
      <c r="A10173" s="5">
        <f>10165</f>
      </c>
      <c r="B10173" s="5" t="s">
        <v>9416</v>
      </c>
      <c r="C10173" s="5" t="s">
        <v>11</v>
      </c>
      <c r="D10173" s="5" t="s">
        <v>12</v>
      </c>
      <c r="E10173" s="5" t="s">
        <v>3962</v>
      </c>
    </row>
    <row r="10174" spans="1:5" x14ac:dyDescent="0.25">
      <c r="A10174" s="5">
        <f>10166</f>
      </c>
      <c r="B10174" s="5" t="s">
        <v>9417</v>
      </c>
      <c r="C10174" s="5" t="s">
        <v>11</v>
      </c>
      <c r="D10174" s="5" t="s">
        <v>12</v>
      </c>
      <c r="E10174" s="5" t="s">
        <v>3962</v>
      </c>
    </row>
    <row r="10175" spans="1:5" x14ac:dyDescent="0.25">
      <c r="A10175" s="5">
        <f>10167</f>
      </c>
      <c r="B10175" s="5" t="s">
        <v>9418</v>
      </c>
      <c r="C10175" s="5" t="s">
        <v>11</v>
      </c>
      <c r="D10175" s="5" t="s">
        <v>12</v>
      </c>
      <c r="E10175" s="5" t="s">
        <v>3962</v>
      </c>
    </row>
    <row r="10176" spans="1:5" x14ac:dyDescent="0.25">
      <c r="A10176" s="5">
        <f>10168</f>
      </c>
      <c r="B10176" s="5" t="s">
        <v>9419</v>
      </c>
      <c r="C10176" s="5" t="s">
        <v>11</v>
      </c>
      <c r="D10176" s="5" t="s">
        <v>12</v>
      </c>
      <c r="E10176" s="5" t="s">
        <v>3962</v>
      </c>
    </row>
    <row r="10177" spans="1:5" x14ac:dyDescent="0.25">
      <c r="A10177" s="5">
        <f>10169</f>
      </c>
      <c r="B10177" s="5" t="s">
        <v>9420</v>
      </c>
      <c r="C10177" s="5" t="s">
        <v>11</v>
      </c>
      <c r="D10177" s="5" t="s">
        <v>12</v>
      </c>
      <c r="E10177" s="5" t="s">
        <v>3962</v>
      </c>
    </row>
    <row r="10178" spans="1:5" x14ac:dyDescent="0.25">
      <c r="A10178" s="5">
        <f>10170</f>
      </c>
      <c r="B10178" s="5" t="s">
        <v>9421</v>
      </c>
      <c r="C10178" s="5" t="s">
        <v>11</v>
      </c>
      <c r="D10178" s="5" t="s">
        <v>12</v>
      </c>
      <c r="E10178" s="5" t="s">
        <v>3962</v>
      </c>
    </row>
    <row r="10179" spans="1:5" x14ac:dyDescent="0.25">
      <c r="A10179" s="5">
        <f>10171</f>
      </c>
      <c r="B10179" s="5" t="s">
        <v>9422</v>
      </c>
      <c r="C10179" s="5" t="s">
        <v>11</v>
      </c>
      <c r="D10179" s="5" t="s">
        <v>12</v>
      </c>
      <c r="E10179" s="5" t="s">
        <v>3962</v>
      </c>
    </row>
    <row r="10180" spans="1:5" x14ac:dyDescent="0.25">
      <c r="A10180" s="5">
        <f>10172</f>
      </c>
      <c r="B10180" s="5" t="s">
        <v>9423</v>
      </c>
      <c r="C10180" s="5" t="s">
        <v>11</v>
      </c>
      <c r="D10180" s="5" t="s">
        <v>12</v>
      </c>
      <c r="E10180" s="5" t="s">
        <v>3962</v>
      </c>
    </row>
    <row r="10181" spans="1:5" x14ac:dyDescent="0.25">
      <c r="A10181" s="5">
        <f>10173</f>
      </c>
      <c r="B10181" s="5" t="s">
        <v>9424</v>
      </c>
      <c r="C10181" s="5" t="s">
        <v>11</v>
      </c>
      <c r="D10181" s="5" t="s">
        <v>12</v>
      </c>
      <c r="E10181" s="5" t="s">
        <v>3962</v>
      </c>
    </row>
    <row r="10182" spans="1:5" x14ac:dyDescent="0.25">
      <c r="A10182" s="5">
        <f>10174</f>
      </c>
      <c r="B10182" s="5" t="s">
        <v>9425</v>
      </c>
      <c r="C10182" s="5" t="s">
        <v>11</v>
      </c>
      <c r="D10182" s="5" t="s">
        <v>12</v>
      </c>
      <c r="E10182" s="5" t="s">
        <v>3962</v>
      </c>
    </row>
    <row r="10183" spans="1:5" x14ac:dyDescent="0.25">
      <c r="A10183" s="5">
        <f>10175</f>
      </c>
      <c r="B10183" s="5" t="s">
        <v>9426</v>
      </c>
      <c r="C10183" s="5" t="s">
        <v>11</v>
      </c>
      <c r="D10183" s="5" t="s">
        <v>12</v>
      </c>
      <c r="E10183" s="5" t="s">
        <v>3962</v>
      </c>
    </row>
    <row r="10184" spans="1:5" x14ac:dyDescent="0.25">
      <c r="A10184" s="5">
        <f>10176</f>
      </c>
      <c r="B10184" s="5" t="s">
        <v>9427</v>
      </c>
      <c r="C10184" s="5" t="s">
        <v>11</v>
      </c>
      <c r="D10184" s="5" t="s">
        <v>12</v>
      </c>
      <c r="E10184" s="5" t="s">
        <v>3962</v>
      </c>
    </row>
    <row r="10185" spans="1:5" x14ac:dyDescent="0.25">
      <c r="A10185" s="5">
        <f>10177</f>
      </c>
      <c r="B10185" s="5" t="s">
        <v>9428</v>
      </c>
      <c r="C10185" s="5" t="s">
        <v>11</v>
      </c>
      <c r="D10185" s="5" t="s">
        <v>12</v>
      </c>
      <c r="E10185" s="5" t="s">
        <v>3962</v>
      </c>
    </row>
    <row r="10186" spans="1:5" x14ac:dyDescent="0.25">
      <c r="A10186" s="5">
        <f>10178</f>
      </c>
      <c r="B10186" s="5" t="s">
        <v>9429</v>
      </c>
      <c r="C10186" s="5" t="s">
        <v>11</v>
      </c>
      <c r="D10186" s="5" t="s">
        <v>12</v>
      </c>
      <c r="E10186" s="5" t="s">
        <v>3962</v>
      </c>
    </row>
    <row r="10187" spans="1:5" x14ac:dyDescent="0.25">
      <c r="A10187" s="5">
        <f>10179</f>
      </c>
      <c r="B10187" s="5" t="s">
        <v>9430</v>
      </c>
      <c r="C10187" s="5" t="s">
        <v>11</v>
      </c>
      <c r="D10187" s="5" t="s">
        <v>12</v>
      </c>
      <c r="E10187" s="5" t="s">
        <v>3962</v>
      </c>
    </row>
    <row r="10188" spans="1:5" x14ac:dyDescent="0.25">
      <c r="A10188" s="5">
        <f>10180</f>
      </c>
      <c r="B10188" s="5" t="s">
        <v>9431</v>
      </c>
      <c r="C10188" s="5" t="s">
        <v>11</v>
      </c>
      <c r="D10188" s="5" t="s">
        <v>12</v>
      </c>
      <c r="E10188" s="5" t="s">
        <v>3962</v>
      </c>
    </row>
    <row r="10189" spans="1:5" x14ac:dyDescent="0.25">
      <c r="A10189" s="5">
        <f>10181</f>
      </c>
      <c r="B10189" s="5" t="s">
        <v>9432</v>
      </c>
      <c r="C10189" s="5" t="s">
        <v>11</v>
      </c>
      <c r="D10189" s="5" t="s">
        <v>12</v>
      </c>
      <c r="E10189" s="5" t="s">
        <v>3962</v>
      </c>
    </row>
    <row r="10190" spans="1:5" x14ac:dyDescent="0.25">
      <c r="A10190" s="5">
        <f>10182</f>
      </c>
      <c r="B10190" s="5" t="s">
        <v>9433</v>
      </c>
      <c r="C10190" s="5" t="s">
        <v>11</v>
      </c>
      <c r="D10190" s="5" t="s">
        <v>12</v>
      </c>
      <c r="E10190" s="5" t="s">
        <v>3962</v>
      </c>
    </row>
    <row r="10191" spans="1:5" x14ac:dyDescent="0.25">
      <c r="A10191" s="5">
        <f>10183</f>
      </c>
      <c r="B10191" s="5" t="s">
        <v>9434</v>
      </c>
      <c r="C10191" s="5" t="s">
        <v>11</v>
      </c>
      <c r="D10191" s="5" t="s">
        <v>12</v>
      </c>
      <c r="E10191" s="5" t="s">
        <v>3962</v>
      </c>
    </row>
    <row r="10192" spans="1:5" x14ac:dyDescent="0.25">
      <c r="A10192" s="5">
        <f>10184</f>
      </c>
      <c r="B10192" s="5" t="s">
        <v>9435</v>
      </c>
      <c r="C10192" s="5" t="s">
        <v>11</v>
      </c>
      <c r="D10192" s="5" t="s">
        <v>12</v>
      </c>
      <c r="E10192" s="5" t="s">
        <v>3962</v>
      </c>
    </row>
    <row r="10193" spans="1:5" x14ac:dyDescent="0.25">
      <c r="A10193" s="5">
        <f>10185</f>
      </c>
      <c r="B10193" s="5" t="s">
        <v>9436</v>
      </c>
      <c r="C10193" s="5" t="s">
        <v>11</v>
      </c>
      <c r="D10193" s="5" t="s">
        <v>12</v>
      </c>
      <c r="E10193" s="5" t="s">
        <v>3962</v>
      </c>
    </row>
    <row r="10194" spans="1:5" x14ac:dyDescent="0.25">
      <c r="A10194" s="5">
        <f>10186</f>
      </c>
      <c r="B10194" s="5" t="s">
        <v>9437</v>
      </c>
      <c r="C10194" s="5" t="s">
        <v>11</v>
      </c>
      <c r="D10194" s="5" t="s">
        <v>12</v>
      </c>
      <c r="E10194" s="5" t="s">
        <v>3962</v>
      </c>
    </row>
    <row r="10195" spans="1:5" x14ac:dyDescent="0.25">
      <c r="A10195" s="5">
        <f>10187</f>
      </c>
      <c r="B10195" s="5" t="s">
        <v>9438</v>
      </c>
      <c r="C10195" s="5" t="s">
        <v>11</v>
      </c>
      <c r="D10195" s="5" t="s">
        <v>12</v>
      </c>
      <c r="E10195" s="5" t="s">
        <v>3962</v>
      </c>
    </row>
    <row r="10196" spans="1:5" x14ac:dyDescent="0.25">
      <c r="A10196" s="5">
        <f>10188</f>
      </c>
      <c r="B10196" s="5" t="s">
        <v>9439</v>
      </c>
      <c r="C10196" s="5" t="s">
        <v>11</v>
      </c>
      <c r="D10196" s="5" t="s">
        <v>12</v>
      </c>
      <c r="E10196" s="5" t="s">
        <v>3962</v>
      </c>
    </row>
    <row r="10197" spans="1:5" x14ac:dyDescent="0.25">
      <c r="A10197" s="5">
        <f>10189</f>
      </c>
      <c r="B10197" s="5" t="s">
        <v>9440</v>
      </c>
      <c r="C10197" s="5" t="s">
        <v>11</v>
      </c>
      <c r="D10197" s="5" t="s">
        <v>12</v>
      </c>
      <c r="E10197" s="5" t="s">
        <v>3962</v>
      </c>
    </row>
    <row r="10198" spans="1:5" x14ac:dyDescent="0.25">
      <c r="A10198" s="5">
        <f>10190</f>
      </c>
      <c r="B10198" s="5" t="s">
        <v>9441</v>
      </c>
      <c r="C10198" s="5" t="s">
        <v>11</v>
      </c>
      <c r="D10198" s="5" t="s">
        <v>12</v>
      </c>
      <c r="E10198" s="5" t="s">
        <v>3962</v>
      </c>
    </row>
    <row r="10199" spans="1:5" x14ac:dyDescent="0.25">
      <c r="A10199" s="5">
        <f>10191</f>
      </c>
      <c r="B10199" s="5" t="s">
        <v>9442</v>
      </c>
      <c r="C10199" s="5" t="s">
        <v>11</v>
      </c>
      <c r="D10199" s="5" t="s">
        <v>12</v>
      </c>
      <c r="E10199" s="5" t="s">
        <v>3962</v>
      </c>
    </row>
    <row r="10200" spans="1:5" x14ac:dyDescent="0.25">
      <c r="A10200" s="5">
        <f>10192</f>
      </c>
      <c r="B10200" s="5" t="s">
        <v>9443</v>
      </c>
      <c r="C10200" s="5" t="s">
        <v>11</v>
      </c>
      <c r="D10200" s="5" t="s">
        <v>12</v>
      </c>
      <c r="E10200" s="5" t="s">
        <v>3962</v>
      </c>
    </row>
    <row r="10201" spans="1:5" x14ac:dyDescent="0.25">
      <c r="A10201" s="5">
        <f>10193</f>
      </c>
      <c r="B10201" s="5" t="s">
        <v>9444</v>
      </c>
      <c r="C10201" s="5" t="s">
        <v>11</v>
      </c>
      <c r="D10201" s="5" t="s">
        <v>12</v>
      </c>
      <c r="E10201" s="5" t="s">
        <v>3962</v>
      </c>
    </row>
    <row r="10202" spans="1:5" x14ac:dyDescent="0.25">
      <c r="A10202" s="5">
        <f>10194</f>
      </c>
      <c r="B10202" s="5" t="s">
        <v>9445</v>
      </c>
      <c r="C10202" s="5" t="s">
        <v>11</v>
      </c>
      <c r="D10202" s="5" t="s">
        <v>12</v>
      </c>
      <c r="E10202" s="5" t="s">
        <v>3962</v>
      </c>
    </row>
    <row r="10203" spans="1:5" x14ac:dyDescent="0.25">
      <c r="A10203" s="5">
        <f>10195</f>
      </c>
      <c r="B10203" s="5" t="s">
        <v>9446</v>
      </c>
      <c r="C10203" s="5" t="s">
        <v>11</v>
      </c>
      <c r="D10203" s="5" t="s">
        <v>12</v>
      </c>
      <c r="E10203" s="5" t="s">
        <v>3962</v>
      </c>
    </row>
    <row r="10204" spans="1:5" x14ac:dyDescent="0.25">
      <c r="A10204" s="5">
        <f>10196</f>
      </c>
      <c r="B10204" s="5" t="s">
        <v>9447</v>
      </c>
      <c r="C10204" s="5" t="s">
        <v>11</v>
      </c>
      <c r="D10204" s="5" t="s">
        <v>12</v>
      </c>
      <c r="E10204" s="5" t="s">
        <v>3962</v>
      </c>
    </row>
    <row r="10205" spans="1:5" x14ac:dyDescent="0.25">
      <c r="A10205" s="5">
        <f>10197</f>
      </c>
      <c r="B10205" s="5" t="s">
        <v>9448</v>
      </c>
      <c r="C10205" s="5" t="s">
        <v>11</v>
      </c>
      <c r="D10205" s="5" t="s">
        <v>12</v>
      </c>
      <c r="E10205" s="5" t="s">
        <v>3962</v>
      </c>
    </row>
    <row r="10206" spans="1:5" x14ac:dyDescent="0.25">
      <c r="A10206" s="5">
        <f>10198</f>
      </c>
      <c r="B10206" s="5" t="s">
        <v>9449</v>
      </c>
      <c r="C10206" s="5" t="s">
        <v>11</v>
      </c>
      <c r="D10206" s="5" t="s">
        <v>12</v>
      </c>
      <c r="E10206" s="5" t="s">
        <v>3962</v>
      </c>
    </row>
    <row r="10207" spans="1:5" x14ac:dyDescent="0.25">
      <c r="A10207" s="5">
        <f>10199</f>
      </c>
      <c r="B10207" s="5" t="s">
        <v>9450</v>
      </c>
      <c r="C10207" s="5" t="s">
        <v>11</v>
      </c>
      <c r="D10207" s="5" t="s">
        <v>12</v>
      </c>
      <c r="E10207" s="5" t="s">
        <v>3962</v>
      </c>
    </row>
    <row r="10208" spans="1:5" x14ac:dyDescent="0.25">
      <c r="A10208" s="5">
        <f>10200</f>
      </c>
      <c r="B10208" s="5" t="s">
        <v>9451</v>
      </c>
      <c r="C10208" s="5" t="s">
        <v>11</v>
      </c>
      <c r="D10208" s="5" t="s">
        <v>12</v>
      </c>
      <c r="E10208" s="5" t="s">
        <v>3962</v>
      </c>
    </row>
    <row r="10209" spans="1:5" x14ac:dyDescent="0.25">
      <c r="A10209" s="5">
        <f>10201</f>
      </c>
      <c r="B10209" s="5" t="s">
        <v>9452</v>
      </c>
      <c r="C10209" s="5" t="s">
        <v>11</v>
      </c>
      <c r="D10209" s="5" t="s">
        <v>12</v>
      </c>
      <c r="E10209" s="5" t="s">
        <v>3962</v>
      </c>
    </row>
    <row r="10210" spans="1:5" x14ac:dyDescent="0.25">
      <c r="A10210" s="5">
        <f>10202</f>
      </c>
      <c r="B10210" s="5" t="s">
        <v>9453</v>
      </c>
      <c r="C10210" s="5" t="s">
        <v>11</v>
      </c>
      <c r="D10210" s="5" t="s">
        <v>12</v>
      </c>
      <c r="E10210" s="5" t="s">
        <v>3962</v>
      </c>
    </row>
    <row r="10211" spans="1:5" x14ac:dyDescent="0.25">
      <c r="A10211" s="5">
        <f>10203</f>
      </c>
      <c r="B10211" s="5" t="s">
        <v>9454</v>
      </c>
      <c r="C10211" s="5" t="s">
        <v>11</v>
      </c>
      <c r="D10211" s="5" t="s">
        <v>12</v>
      </c>
      <c r="E10211" s="5" t="s">
        <v>3962</v>
      </c>
    </row>
    <row r="10212" spans="1:5" x14ac:dyDescent="0.25">
      <c r="A10212" s="5">
        <f>10204</f>
      </c>
      <c r="B10212" s="5" t="s">
        <v>9455</v>
      </c>
      <c r="C10212" s="5" t="s">
        <v>11</v>
      </c>
      <c r="D10212" s="5" t="s">
        <v>12</v>
      </c>
      <c r="E10212" s="5" t="s">
        <v>3962</v>
      </c>
    </row>
    <row r="10213" spans="1:5" x14ac:dyDescent="0.25">
      <c r="A10213" s="5">
        <f>10205</f>
      </c>
      <c r="B10213" s="5" t="s">
        <v>9456</v>
      </c>
      <c r="C10213" s="5" t="s">
        <v>11</v>
      </c>
      <c r="D10213" s="5" t="s">
        <v>12</v>
      </c>
      <c r="E10213" s="5" t="s">
        <v>3962</v>
      </c>
    </row>
    <row r="10214" spans="1:5" x14ac:dyDescent="0.25">
      <c r="A10214" s="5">
        <f>10206</f>
      </c>
      <c r="B10214" s="5" t="s">
        <v>9457</v>
      </c>
      <c r="C10214" s="5" t="s">
        <v>11</v>
      </c>
      <c r="D10214" s="5" t="s">
        <v>12</v>
      </c>
      <c r="E10214" s="5" t="s">
        <v>3962</v>
      </c>
    </row>
    <row r="10215" spans="1:5" x14ac:dyDescent="0.25">
      <c r="A10215" s="5">
        <f>10207</f>
      </c>
      <c r="B10215" s="5" t="s">
        <v>9458</v>
      </c>
      <c r="C10215" s="5" t="s">
        <v>11</v>
      </c>
      <c r="D10215" s="5" t="s">
        <v>12</v>
      </c>
      <c r="E10215" s="5" t="s">
        <v>3962</v>
      </c>
    </row>
    <row r="10216" spans="1:5" x14ac:dyDescent="0.25">
      <c r="A10216" s="5">
        <f>10208</f>
      </c>
      <c r="B10216" s="5" t="s">
        <v>9459</v>
      </c>
      <c r="C10216" s="5" t="s">
        <v>11</v>
      </c>
      <c r="D10216" s="5" t="s">
        <v>12</v>
      </c>
      <c r="E10216" s="5" t="s">
        <v>3962</v>
      </c>
    </row>
    <row r="10217" spans="1:5" x14ac:dyDescent="0.25">
      <c r="A10217" s="5">
        <f>10209</f>
      </c>
      <c r="B10217" s="5" t="s">
        <v>9460</v>
      </c>
      <c r="C10217" s="5" t="s">
        <v>11</v>
      </c>
      <c r="D10217" s="5" t="s">
        <v>12</v>
      </c>
      <c r="E10217" s="5" t="s">
        <v>3962</v>
      </c>
    </row>
    <row r="10218" spans="1:5" x14ac:dyDescent="0.25">
      <c r="A10218" s="5">
        <f>10210</f>
      </c>
      <c r="B10218" s="5" t="s">
        <v>9461</v>
      </c>
      <c r="C10218" s="5" t="s">
        <v>11</v>
      </c>
      <c r="D10218" s="5" t="s">
        <v>12</v>
      </c>
      <c r="E10218" s="5" t="s">
        <v>3962</v>
      </c>
    </row>
    <row r="10219" spans="1:5" x14ac:dyDescent="0.25">
      <c r="A10219" s="5">
        <f>10211</f>
      </c>
      <c r="B10219" s="5" t="s">
        <v>9462</v>
      </c>
      <c r="C10219" s="5" t="s">
        <v>11</v>
      </c>
      <c r="D10219" s="5" t="s">
        <v>12</v>
      </c>
      <c r="E10219" s="5" t="s">
        <v>3962</v>
      </c>
    </row>
    <row r="10220" spans="1:5" x14ac:dyDescent="0.25">
      <c r="A10220" s="5">
        <f>10212</f>
      </c>
      <c r="B10220" s="5" t="s">
        <v>9463</v>
      </c>
      <c r="C10220" s="5" t="s">
        <v>11</v>
      </c>
      <c r="D10220" s="5" t="s">
        <v>12</v>
      </c>
      <c r="E10220" s="5" t="s">
        <v>3962</v>
      </c>
    </row>
    <row r="10221" spans="1:5" x14ac:dyDescent="0.25">
      <c r="A10221" s="5">
        <f>10213</f>
      </c>
      <c r="B10221" s="5" t="s">
        <v>9464</v>
      </c>
      <c r="C10221" s="5" t="s">
        <v>11</v>
      </c>
      <c r="D10221" s="5" t="s">
        <v>12</v>
      </c>
      <c r="E10221" s="5" t="s">
        <v>3962</v>
      </c>
    </row>
    <row r="10222" spans="1:5" x14ac:dyDescent="0.25">
      <c r="A10222" s="5">
        <f>10214</f>
      </c>
      <c r="B10222" s="5" t="s">
        <v>9465</v>
      </c>
      <c r="C10222" s="5" t="s">
        <v>11</v>
      </c>
      <c r="D10222" s="5" t="s">
        <v>12</v>
      </c>
      <c r="E10222" s="5" t="s">
        <v>3962</v>
      </c>
    </row>
    <row r="10223" spans="1:5" x14ac:dyDescent="0.25">
      <c r="A10223" s="5">
        <f>10215</f>
      </c>
      <c r="B10223" s="5" t="s">
        <v>9466</v>
      </c>
      <c r="C10223" s="5" t="s">
        <v>11</v>
      </c>
      <c r="D10223" s="5" t="s">
        <v>12</v>
      </c>
      <c r="E10223" s="5" t="s">
        <v>3962</v>
      </c>
    </row>
    <row r="10224" spans="1:5" x14ac:dyDescent="0.25">
      <c r="A10224" s="5">
        <f>10216</f>
      </c>
      <c r="B10224" s="5" t="s">
        <v>9467</v>
      </c>
      <c r="C10224" s="5" t="s">
        <v>11</v>
      </c>
      <c r="D10224" s="5" t="s">
        <v>12</v>
      </c>
      <c r="E10224" s="5" t="s">
        <v>3962</v>
      </c>
    </row>
    <row r="10225" spans="1:5" x14ac:dyDescent="0.25">
      <c r="A10225" s="5">
        <f>10217</f>
      </c>
      <c r="B10225" s="5" t="s">
        <v>9468</v>
      </c>
      <c r="C10225" s="5" t="s">
        <v>11</v>
      </c>
      <c r="D10225" s="5" t="s">
        <v>12</v>
      </c>
      <c r="E10225" s="5" t="s">
        <v>3962</v>
      </c>
    </row>
    <row r="10226" spans="1:5" x14ac:dyDescent="0.25">
      <c r="A10226" s="5">
        <f>10218</f>
      </c>
      <c r="B10226" s="5" t="s">
        <v>9469</v>
      </c>
      <c r="C10226" s="5" t="s">
        <v>11</v>
      </c>
      <c r="D10226" s="5" t="s">
        <v>12</v>
      </c>
      <c r="E10226" s="5" t="s">
        <v>3962</v>
      </c>
    </row>
    <row r="10227" spans="1:5" x14ac:dyDescent="0.25">
      <c r="A10227" s="5">
        <f>10219</f>
      </c>
      <c r="B10227" s="5" t="s">
        <v>9470</v>
      </c>
      <c r="C10227" s="5" t="s">
        <v>11</v>
      </c>
      <c r="D10227" s="5" t="s">
        <v>12</v>
      </c>
      <c r="E10227" s="5" t="s">
        <v>3962</v>
      </c>
    </row>
    <row r="10228" spans="1:5" x14ac:dyDescent="0.25">
      <c r="A10228" s="5">
        <f>10220</f>
      </c>
      <c r="B10228" s="5" t="s">
        <v>9471</v>
      </c>
      <c r="C10228" s="5" t="s">
        <v>11</v>
      </c>
      <c r="D10228" s="5" t="s">
        <v>12</v>
      </c>
      <c r="E10228" s="5" t="s">
        <v>3962</v>
      </c>
    </row>
    <row r="10229" spans="1:5" x14ac:dyDescent="0.25">
      <c r="A10229" s="5">
        <f>10221</f>
      </c>
      <c r="B10229" s="5" t="s">
        <v>9472</v>
      </c>
      <c r="C10229" s="5" t="s">
        <v>11</v>
      </c>
      <c r="D10229" s="5" t="s">
        <v>12</v>
      </c>
      <c r="E10229" s="5" t="s">
        <v>3962</v>
      </c>
    </row>
    <row r="10230" spans="1:5" x14ac:dyDescent="0.25">
      <c r="A10230" s="5">
        <f>10222</f>
      </c>
      <c r="B10230" s="5" t="s">
        <v>9473</v>
      </c>
      <c r="C10230" s="5" t="s">
        <v>11</v>
      </c>
      <c r="D10230" s="5" t="s">
        <v>12</v>
      </c>
      <c r="E10230" s="5" t="s">
        <v>3962</v>
      </c>
    </row>
    <row r="10231" spans="1:5" x14ac:dyDescent="0.25">
      <c r="A10231" s="5">
        <f>10223</f>
      </c>
      <c r="B10231" s="5" t="s">
        <v>9474</v>
      </c>
      <c r="C10231" s="5" t="s">
        <v>11</v>
      </c>
      <c r="D10231" s="5" t="s">
        <v>12</v>
      </c>
      <c r="E10231" s="5" t="s">
        <v>3962</v>
      </c>
    </row>
    <row r="10232" spans="1:5" x14ac:dyDescent="0.25">
      <c r="A10232" s="5">
        <f>10224</f>
      </c>
      <c r="B10232" s="5" t="s">
        <v>9475</v>
      </c>
      <c r="C10232" s="5" t="s">
        <v>11</v>
      </c>
      <c r="D10232" s="5" t="s">
        <v>12</v>
      </c>
      <c r="E10232" s="5" t="s">
        <v>3962</v>
      </c>
    </row>
    <row r="10233" spans="1:5" x14ac:dyDescent="0.25">
      <c r="A10233" s="5">
        <f>10225</f>
      </c>
      <c r="B10233" s="5" t="s">
        <v>9476</v>
      </c>
      <c r="C10233" s="5" t="s">
        <v>11</v>
      </c>
      <c r="D10233" s="5" t="s">
        <v>12</v>
      </c>
      <c r="E10233" s="5" t="s">
        <v>3962</v>
      </c>
    </row>
    <row r="10234" spans="1:5" x14ac:dyDescent="0.25">
      <c r="A10234" s="5">
        <f>10226</f>
      </c>
      <c r="B10234" s="5" t="s">
        <v>9477</v>
      </c>
      <c r="C10234" s="5" t="s">
        <v>11</v>
      </c>
      <c r="D10234" s="5" t="s">
        <v>12</v>
      </c>
      <c r="E10234" s="5" t="s">
        <v>3962</v>
      </c>
    </row>
    <row r="10235" spans="1:5" x14ac:dyDescent="0.25">
      <c r="A10235" s="5">
        <f>10227</f>
      </c>
      <c r="B10235" s="5" t="s">
        <v>9478</v>
      </c>
      <c r="C10235" s="5" t="s">
        <v>11</v>
      </c>
      <c r="D10235" s="5" t="s">
        <v>12</v>
      </c>
      <c r="E10235" s="5" t="s">
        <v>3962</v>
      </c>
    </row>
    <row r="10236" spans="1:5" x14ac:dyDescent="0.25">
      <c r="A10236" s="5">
        <f>10228</f>
      </c>
      <c r="B10236" s="5" t="s">
        <v>9479</v>
      </c>
      <c r="C10236" s="5" t="s">
        <v>11</v>
      </c>
      <c r="D10236" s="5" t="s">
        <v>12</v>
      </c>
      <c r="E10236" s="5" t="s">
        <v>3962</v>
      </c>
    </row>
    <row r="10237" spans="1:5" x14ac:dyDescent="0.25">
      <c r="A10237" s="5">
        <f>10229</f>
      </c>
      <c r="B10237" s="5" t="s">
        <v>9480</v>
      </c>
      <c r="C10237" s="5" t="s">
        <v>11</v>
      </c>
      <c r="D10237" s="5" t="s">
        <v>12</v>
      </c>
      <c r="E10237" s="5" t="s">
        <v>3962</v>
      </c>
    </row>
    <row r="10238" spans="1:5" x14ac:dyDescent="0.25">
      <c r="A10238" s="5">
        <f>10230</f>
      </c>
      <c r="B10238" s="5" t="s">
        <v>9481</v>
      </c>
      <c r="C10238" s="5" t="s">
        <v>11</v>
      </c>
      <c r="D10238" s="5" t="s">
        <v>12</v>
      </c>
      <c r="E10238" s="5" t="s">
        <v>3962</v>
      </c>
    </row>
    <row r="10239" spans="1:5" x14ac:dyDescent="0.25">
      <c r="A10239" s="5">
        <f>10231</f>
      </c>
      <c r="B10239" s="5" t="s">
        <v>9482</v>
      </c>
      <c r="C10239" s="5" t="s">
        <v>11</v>
      </c>
      <c r="D10239" s="5" t="s">
        <v>12</v>
      </c>
      <c r="E10239" s="5" t="s">
        <v>3962</v>
      </c>
    </row>
    <row r="10240" spans="1:5" x14ac:dyDescent="0.25">
      <c r="A10240" s="5">
        <f>10232</f>
      </c>
      <c r="B10240" s="5" t="s">
        <v>9483</v>
      </c>
      <c r="C10240" s="5" t="s">
        <v>11</v>
      </c>
      <c r="D10240" s="5" t="s">
        <v>12</v>
      </c>
      <c r="E10240" s="5" t="s">
        <v>3962</v>
      </c>
    </row>
    <row r="10241" spans="1:5" x14ac:dyDescent="0.25">
      <c r="A10241" s="5">
        <f>10233</f>
      </c>
      <c r="B10241" s="5" t="s">
        <v>9484</v>
      </c>
      <c r="C10241" s="5" t="s">
        <v>11</v>
      </c>
      <c r="D10241" s="5" t="s">
        <v>12</v>
      </c>
      <c r="E10241" s="5" t="s">
        <v>3962</v>
      </c>
    </row>
    <row r="10242" spans="1:5" x14ac:dyDescent="0.25">
      <c r="A10242" s="5">
        <f>10234</f>
      </c>
      <c r="B10242" s="5" t="s">
        <v>9485</v>
      </c>
      <c r="C10242" s="5" t="s">
        <v>11</v>
      </c>
      <c r="D10242" s="5" t="s">
        <v>12</v>
      </c>
      <c r="E10242" s="5" t="s">
        <v>3962</v>
      </c>
    </row>
    <row r="10243" spans="1:5" x14ac:dyDescent="0.25">
      <c r="A10243" s="5">
        <f>10235</f>
      </c>
      <c r="B10243" s="5" t="s">
        <v>9486</v>
      </c>
      <c r="C10243" s="5" t="s">
        <v>11</v>
      </c>
      <c r="D10243" s="5" t="s">
        <v>12</v>
      </c>
      <c r="E10243" s="5" t="s">
        <v>3962</v>
      </c>
    </row>
    <row r="10244" spans="1:5" x14ac:dyDescent="0.25">
      <c r="A10244" s="5">
        <f>10236</f>
      </c>
      <c r="B10244" s="5" t="s">
        <v>9487</v>
      </c>
      <c r="C10244" s="5" t="s">
        <v>11</v>
      </c>
      <c r="D10244" s="5" t="s">
        <v>12</v>
      </c>
      <c r="E10244" s="5" t="s">
        <v>3962</v>
      </c>
    </row>
    <row r="10245" spans="1:5" x14ac:dyDescent="0.25">
      <c r="A10245" s="5">
        <f>10237</f>
      </c>
      <c r="B10245" s="5" t="s">
        <v>9488</v>
      </c>
      <c r="C10245" s="5" t="s">
        <v>11</v>
      </c>
      <c r="D10245" s="5" t="s">
        <v>12</v>
      </c>
      <c r="E10245" s="5" t="s">
        <v>3962</v>
      </c>
    </row>
    <row r="10246" spans="1:5" x14ac:dyDescent="0.25">
      <c r="A10246" s="5">
        <f>10238</f>
      </c>
      <c r="B10246" s="5" t="s">
        <v>9489</v>
      </c>
      <c r="C10246" s="5" t="s">
        <v>11</v>
      </c>
      <c r="D10246" s="5" t="s">
        <v>12</v>
      </c>
      <c r="E10246" s="5" t="s">
        <v>3962</v>
      </c>
    </row>
    <row r="10247" spans="1:5" x14ac:dyDescent="0.25">
      <c r="A10247" s="5">
        <f>10239</f>
      </c>
      <c r="B10247" s="5" t="s">
        <v>9490</v>
      </c>
      <c r="C10247" s="5" t="s">
        <v>11</v>
      </c>
      <c r="D10247" s="5" t="s">
        <v>12</v>
      </c>
      <c r="E10247" s="5" t="s">
        <v>3962</v>
      </c>
    </row>
    <row r="10248" spans="1:5" x14ac:dyDescent="0.25">
      <c r="A10248" s="5">
        <f>10240</f>
      </c>
      <c r="B10248" s="5" t="s">
        <v>9491</v>
      </c>
      <c r="C10248" s="5" t="s">
        <v>11</v>
      </c>
      <c r="D10248" s="5" t="s">
        <v>12</v>
      </c>
      <c r="E10248" s="5" t="s">
        <v>3962</v>
      </c>
    </row>
    <row r="10249" spans="1:5" x14ac:dyDescent="0.25">
      <c r="A10249" s="5">
        <f>10241</f>
      </c>
      <c r="B10249" s="5" t="s">
        <v>9492</v>
      </c>
      <c r="C10249" s="5" t="s">
        <v>11</v>
      </c>
      <c r="D10249" s="5" t="s">
        <v>12</v>
      </c>
      <c r="E10249" s="5" t="s">
        <v>3962</v>
      </c>
    </row>
    <row r="10250" spans="1:5" x14ac:dyDescent="0.25">
      <c r="A10250" s="5">
        <f>10242</f>
      </c>
      <c r="B10250" s="5" t="s">
        <v>9493</v>
      </c>
      <c r="C10250" s="5" t="s">
        <v>11</v>
      </c>
      <c r="D10250" s="5" t="s">
        <v>12</v>
      </c>
      <c r="E10250" s="5" t="s">
        <v>3962</v>
      </c>
    </row>
    <row r="10251" spans="1:5" x14ac:dyDescent="0.25">
      <c r="A10251" s="5">
        <f>10243</f>
      </c>
      <c r="B10251" s="5" t="s">
        <v>9494</v>
      </c>
      <c r="C10251" s="5" t="s">
        <v>11</v>
      </c>
      <c r="D10251" s="5" t="s">
        <v>12</v>
      </c>
      <c r="E10251" s="5" t="s">
        <v>3962</v>
      </c>
    </row>
    <row r="10252" spans="1:5" x14ac:dyDescent="0.25">
      <c r="A10252" s="5">
        <f>10244</f>
      </c>
      <c r="B10252" s="5" t="s">
        <v>9495</v>
      </c>
      <c r="C10252" s="5" t="s">
        <v>11</v>
      </c>
      <c r="D10252" s="5" t="s">
        <v>12</v>
      </c>
      <c r="E10252" s="5" t="s">
        <v>3962</v>
      </c>
    </row>
    <row r="10253" spans="1:5" x14ac:dyDescent="0.25">
      <c r="A10253" s="5">
        <f>10245</f>
      </c>
      <c r="B10253" s="5" t="s">
        <v>9496</v>
      </c>
      <c r="C10253" s="5" t="s">
        <v>11</v>
      </c>
      <c r="D10253" s="5" t="s">
        <v>12</v>
      </c>
      <c r="E10253" s="5" t="s">
        <v>3962</v>
      </c>
    </row>
    <row r="10254" spans="1:5" x14ac:dyDescent="0.25">
      <c r="A10254" s="5">
        <f>10246</f>
      </c>
      <c r="B10254" s="5" t="s">
        <v>9497</v>
      </c>
      <c r="C10254" s="5" t="s">
        <v>11</v>
      </c>
      <c r="D10254" s="5" t="s">
        <v>12</v>
      </c>
      <c r="E10254" s="5" t="s">
        <v>3962</v>
      </c>
    </row>
    <row r="10255" spans="1:5" x14ac:dyDescent="0.25">
      <c r="A10255" s="5">
        <f>10247</f>
      </c>
      <c r="B10255" s="5" t="s">
        <v>9498</v>
      </c>
      <c r="C10255" s="5" t="s">
        <v>11</v>
      </c>
      <c r="D10255" s="5" t="s">
        <v>12</v>
      </c>
      <c r="E10255" s="5" t="s">
        <v>3962</v>
      </c>
    </row>
    <row r="10256" spans="1:5" x14ac:dyDescent="0.25">
      <c r="A10256" s="5">
        <f>10248</f>
      </c>
      <c r="B10256" s="5" t="s">
        <v>9499</v>
      </c>
      <c r="C10256" s="5" t="s">
        <v>11</v>
      </c>
      <c r="D10256" s="5" t="s">
        <v>12</v>
      </c>
      <c r="E10256" s="5" t="s">
        <v>3962</v>
      </c>
    </row>
    <row r="10257" spans="1:5" x14ac:dyDescent="0.25">
      <c r="A10257" s="5">
        <f>10249</f>
      </c>
      <c r="B10257" s="5" t="s">
        <v>9500</v>
      </c>
      <c r="C10257" s="5" t="s">
        <v>11</v>
      </c>
      <c r="D10257" s="5" t="s">
        <v>12</v>
      </c>
      <c r="E10257" s="5" t="s">
        <v>3962</v>
      </c>
    </row>
    <row r="10258" spans="1:5" x14ac:dyDescent="0.25">
      <c r="A10258" s="5">
        <f>10250</f>
      </c>
      <c r="B10258" s="5" t="s">
        <v>9501</v>
      </c>
      <c r="C10258" s="5" t="s">
        <v>11</v>
      </c>
      <c r="D10258" s="5" t="s">
        <v>12</v>
      </c>
      <c r="E10258" s="5" t="s">
        <v>3962</v>
      </c>
    </row>
    <row r="10259" spans="1:5" x14ac:dyDescent="0.25">
      <c r="A10259" s="5">
        <f>10251</f>
      </c>
      <c r="B10259" s="5" t="s">
        <v>9502</v>
      </c>
      <c r="C10259" s="5" t="s">
        <v>11</v>
      </c>
      <c r="D10259" s="5" t="s">
        <v>12</v>
      </c>
      <c r="E10259" s="5" t="s">
        <v>3962</v>
      </c>
    </row>
    <row r="10260" spans="1:5" x14ac:dyDescent="0.25">
      <c r="A10260" s="5">
        <f>10252</f>
      </c>
      <c r="B10260" s="5" t="s">
        <v>9503</v>
      </c>
      <c r="C10260" s="5" t="s">
        <v>11</v>
      </c>
      <c r="D10260" s="5" t="s">
        <v>12</v>
      </c>
      <c r="E10260" s="5" t="s">
        <v>3962</v>
      </c>
    </row>
    <row r="10261" spans="1:5" x14ac:dyDescent="0.25">
      <c r="A10261" s="5">
        <f>10253</f>
      </c>
      <c r="B10261" s="5" t="s">
        <v>9504</v>
      </c>
      <c r="C10261" s="5" t="s">
        <v>11</v>
      </c>
      <c r="D10261" s="5" t="s">
        <v>12</v>
      </c>
      <c r="E10261" s="5" t="s">
        <v>3962</v>
      </c>
    </row>
    <row r="10262" spans="1:5" x14ac:dyDescent="0.25">
      <c r="A10262" s="5">
        <f>10254</f>
      </c>
      <c r="B10262" s="5" t="s">
        <v>9505</v>
      </c>
      <c r="C10262" s="5" t="s">
        <v>11</v>
      </c>
      <c r="D10262" s="5" t="s">
        <v>12</v>
      </c>
      <c r="E10262" s="5" t="s">
        <v>830</v>
      </c>
    </row>
    <row r="10263" spans="1:5" x14ac:dyDescent="0.25">
      <c r="A10263" s="5">
        <f>10255</f>
      </c>
      <c r="B10263" s="5" t="s">
        <v>9506</v>
      </c>
      <c r="C10263" s="5" t="s">
        <v>11</v>
      </c>
      <c r="D10263" s="5" t="s">
        <v>12</v>
      </c>
      <c r="E10263" s="5" t="s">
        <v>2249</v>
      </c>
    </row>
    <row r="10264" spans="1:5" x14ac:dyDescent="0.25">
      <c r="A10264" s="5">
        <f>10256</f>
      </c>
      <c r="B10264" s="5" t="s">
        <v>9507</v>
      </c>
      <c r="C10264" s="5" t="s">
        <v>11</v>
      </c>
      <c r="D10264" s="5" t="s">
        <v>12</v>
      </c>
      <c r="E10264" s="5" t="s">
        <v>2622</v>
      </c>
    </row>
    <row r="10265" spans="1:5" x14ac:dyDescent="0.25">
      <c r="A10265" s="5">
        <f>10257</f>
      </c>
      <c r="B10265" s="5" t="s">
        <v>9508</v>
      </c>
      <c r="C10265" s="5" t="s">
        <v>11</v>
      </c>
      <c r="D10265" s="5" t="s">
        <v>12</v>
      </c>
      <c r="E10265" s="5" t="s">
        <v>784</v>
      </c>
    </row>
    <row r="10266" spans="1:5" x14ac:dyDescent="0.25">
      <c r="A10266" s="5">
        <f>10258</f>
      </c>
      <c r="B10266" s="5" t="s">
        <v>9509</v>
      </c>
      <c r="C10266" s="5" t="s">
        <v>11</v>
      </c>
      <c r="D10266" s="5" t="s">
        <v>12</v>
      </c>
      <c r="E10266" s="5" t="s">
        <v>972</v>
      </c>
    </row>
    <row r="10267" spans="1:5" x14ac:dyDescent="0.25">
      <c r="A10267" s="5">
        <f>10259</f>
      </c>
      <c r="B10267" s="5" t="s">
        <v>9510</v>
      </c>
      <c r="C10267" s="5" t="s">
        <v>11</v>
      </c>
      <c r="D10267" s="5" t="s">
        <v>12</v>
      </c>
      <c r="E10267" s="5" t="s">
        <v>2632</v>
      </c>
    </row>
    <row r="10268" spans="1:5" x14ac:dyDescent="0.25">
      <c r="A10268" s="5">
        <f>10260</f>
      </c>
      <c r="B10268" s="5" t="s">
        <v>9511</v>
      </c>
      <c r="C10268" s="5" t="s">
        <v>11</v>
      </c>
      <c r="D10268" s="5" t="s">
        <v>12</v>
      </c>
      <c r="E10268" s="5" t="s">
        <v>9512</v>
      </c>
    </row>
    <row r="10269" spans="1:5" x14ac:dyDescent="0.25">
      <c r="A10269" s="5">
        <f>10261</f>
      </c>
      <c r="B10269" s="5" t="s">
        <v>9513</v>
      </c>
      <c r="C10269" s="5" t="s">
        <v>11</v>
      </c>
      <c r="D10269" s="5" t="s">
        <v>12</v>
      </c>
      <c r="E10269" s="5" t="s">
        <v>9512</v>
      </c>
    </row>
    <row r="10270" spans="1:5" x14ac:dyDescent="0.25">
      <c r="A10270" s="5">
        <f>10262</f>
      </c>
      <c r="B10270" s="5" t="s">
        <v>9514</v>
      </c>
      <c r="C10270" s="5" t="s">
        <v>11</v>
      </c>
      <c r="D10270" s="5" t="s">
        <v>12</v>
      </c>
      <c r="E10270" s="5" t="s">
        <v>9512</v>
      </c>
    </row>
    <row r="10271" spans="1:5" x14ac:dyDescent="0.25">
      <c r="A10271" s="5">
        <f>10263</f>
      </c>
      <c r="B10271" s="5" t="s">
        <v>9515</v>
      </c>
      <c r="C10271" s="5" t="s">
        <v>11</v>
      </c>
      <c r="D10271" s="5" t="s">
        <v>12</v>
      </c>
      <c r="E10271" s="5" t="s">
        <v>3608</v>
      </c>
    </row>
    <row r="10272" spans="1:5" x14ac:dyDescent="0.25">
      <c r="A10272" s="5">
        <f>10264</f>
      </c>
      <c r="B10272" s="5" t="s">
        <v>9516</v>
      </c>
      <c r="C10272" s="5" t="s">
        <v>11</v>
      </c>
      <c r="D10272" s="5" t="s">
        <v>12</v>
      </c>
      <c r="E10272" s="5" t="s">
        <v>4018</v>
      </c>
    </row>
    <row r="10273" spans="1:5" x14ac:dyDescent="0.25">
      <c r="A10273" s="5">
        <f>10265</f>
      </c>
      <c r="B10273" s="5" t="s">
        <v>9517</v>
      </c>
      <c r="C10273" s="5" t="s">
        <v>11</v>
      </c>
      <c r="D10273" s="5" t="s">
        <v>12</v>
      </c>
      <c r="E10273" s="5" t="s">
        <v>9518</v>
      </c>
    </row>
    <row r="10274" spans="1:5" x14ac:dyDescent="0.25">
      <c r="A10274" s="5">
        <f>10266</f>
      </c>
      <c r="B10274" s="5" t="s">
        <v>9519</v>
      </c>
      <c r="C10274" s="5" t="s">
        <v>11</v>
      </c>
      <c r="D10274" s="5" t="s">
        <v>12</v>
      </c>
      <c r="E10274" s="5" t="s">
        <v>1042</v>
      </c>
    </row>
    <row r="10275" spans="1:5" x14ac:dyDescent="0.25">
      <c r="A10275" s="5">
        <f>10267</f>
      </c>
      <c r="B10275" s="5" t="s">
        <v>9520</v>
      </c>
      <c r="C10275" s="5" t="s">
        <v>11</v>
      </c>
      <c r="D10275" s="5" t="s">
        <v>12</v>
      </c>
      <c r="E10275" s="5" t="s">
        <v>9521</v>
      </c>
    </row>
    <row r="10276" spans="1:5" x14ac:dyDescent="0.25">
      <c r="A10276" s="5">
        <f>10268</f>
      </c>
      <c r="B10276" s="5" t="s">
        <v>9522</v>
      </c>
      <c r="C10276" s="5" t="s">
        <v>11</v>
      </c>
      <c r="D10276" s="5" t="s">
        <v>12</v>
      </c>
      <c r="E10276" s="5" t="s">
        <v>871</v>
      </c>
    </row>
    <row r="10277" spans="1:5" x14ac:dyDescent="0.25">
      <c r="A10277" s="5">
        <f>10269</f>
      </c>
      <c r="B10277" s="5" t="s">
        <v>9523</v>
      </c>
      <c r="C10277" s="5" t="s">
        <v>11</v>
      </c>
      <c r="D10277" s="5" t="s">
        <v>12</v>
      </c>
      <c r="E10277" s="5" t="s">
        <v>919</v>
      </c>
    </row>
    <row r="10278" spans="1:5" x14ac:dyDescent="0.25">
      <c r="A10278" s="5">
        <f>10270</f>
      </c>
      <c r="B10278" s="5" t="s">
        <v>9524</v>
      </c>
      <c r="C10278" s="5" t="s">
        <v>11</v>
      </c>
      <c r="D10278" s="5" t="s">
        <v>12</v>
      </c>
      <c r="E10278" s="5" t="s">
        <v>2575</v>
      </c>
    </row>
    <row r="10279" spans="1:5" x14ac:dyDescent="0.25">
      <c r="A10279" s="5">
        <f>10271</f>
      </c>
      <c r="B10279" s="5" t="s">
        <v>9525</v>
      </c>
      <c r="C10279" s="5" t="s">
        <v>11</v>
      </c>
      <c r="D10279" s="5" t="s">
        <v>12</v>
      </c>
      <c r="E10279" s="5" t="s">
        <v>2262</v>
      </c>
    </row>
    <row r="10280" spans="1:5" x14ac:dyDescent="0.25">
      <c r="A10280" s="5">
        <f>10272</f>
      </c>
      <c r="B10280" s="5" t="s">
        <v>9526</v>
      </c>
      <c r="C10280" s="5" t="s">
        <v>11</v>
      </c>
      <c r="D10280" s="5" t="s">
        <v>12</v>
      </c>
      <c r="E10280" s="5" t="s">
        <v>2577</v>
      </c>
    </row>
    <row r="10281" spans="1:5" x14ac:dyDescent="0.25">
      <c r="A10281" s="5">
        <f>10273</f>
      </c>
      <c r="B10281" s="5" t="s">
        <v>9527</v>
      </c>
      <c r="C10281" s="5" t="s">
        <v>11</v>
      </c>
      <c r="D10281" s="5" t="s">
        <v>12</v>
      </c>
      <c r="E10281" s="5" t="s">
        <v>3598</v>
      </c>
    </row>
    <row r="10282" spans="1:5" x14ac:dyDescent="0.25">
      <c r="A10282" s="5">
        <f>10274</f>
      </c>
      <c r="B10282" s="5" t="s">
        <v>9528</v>
      </c>
      <c r="C10282" s="5" t="s">
        <v>11</v>
      </c>
      <c r="D10282" s="5" t="s">
        <v>12</v>
      </c>
      <c r="E10282" s="5" t="s">
        <v>999</v>
      </c>
    </row>
    <row r="10283" spans="1:5" x14ac:dyDescent="0.25">
      <c r="A10283" s="5">
        <f>10275</f>
      </c>
      <c r="B10283" s="5" t="s">
        <v>9529</v>
      </c>
      <c r="C10283" s="5" t="s">
        <v>11</v>
      </c>
      <c r="D10283" s="5" t="s">
        <v>12</v>
      </c>
      <c r="E10283" s="5" t="s">
        <v>3378</v>
      </c>
    </row>
    <row r="10284" spans="1:5" x14ac:dyDescent="0.25">
      <c r="A10284" s="5">
        <f>10276</f>
      </c>
      <c r="B10284" s="5" t="s">
        <v>9530</v>
      </c>
      <c r="C10284" s="5" t="s">
        <v>11</v>
      </c>
      <c r="D10284" s="5" t="s">
        <v>12</v>
      </c>
      <c r="E10284" s="5" t="s">
        <v>2257</v>
      </c>
    </row>
    <row r="10285" spans="1:5" x14ac:dyDescent="0.25">
      <c r="A10285" s="5">
        <f>10277</f>
      </c>
      <c r="B10285" s="5" t="s">
        <v>9531</v>
      </c>
      <c r="C10285" s="5" t="s">
        <v>11</v>
      </c>
      <c r="D10285" s="5" t="s">
        <v>12</v>
      </c>
      <c r="E10285" s="5" t="s">
        <v>2400</v>
      </c>
    </row>
    <row r="10286" spans="1:5" x14ac:dyDescent="0.25">
      <c r="A10286" s="5">
        <f>10278</f>
      </c>
      <c r="B10286" s="5" t="s">
        <v>9532</v>
      </c>
      <c r="C10286" s="5" t="s">
        <v>11</v>
      </c>
      <c r="D10286" s="5" t="s">
        <v>12</v>
      </c>
      <c r="E10286" s="5" t="s">
        <v>1060</v>
      </c>
    </row>
    <row r="10287" spans="1:5" x14ac:dyDescent="0.25">
      <c r="A10287" s="5">
        <f>10279</f>
      </c>
      <c r="B10287" s="5" t="s">
        <v>9533</v>
      </c>
      <c r="C10287" s="5" t="s">
        <v>11</v>
      </c>
      <c r="D10287" s="5" t="s">
        <v>12</v>
      </c>
      <c r="E10287" s="5" t="s">
        <v>4051</v>
      </c>
    </row>
    <row r="10288" spans="1:5" x14ac:dyDescent="0.25">
      <c r="A10288" s="5">
        <f>10280</f>
      </c>
      <c r="B10288" s="5" t="s">
        <v>9534</v>
      </c>
      <c r="C10288" s="5" t="s">
        <v>11</v>
      </c>
      <c r="D10288" s="5" t="s">
        <v>12</v>
      </c>
      <c r="E10288" s="5" t="s">
        <v>2600</v>
      </c>
    </row>
    <row r="10289" spans="1:5" x14ac:dyDescent="0.25">
      <c r="A10289" s="5">
        <f>10281</f>
      </c>
      <c r="B10289" s="5" t="s">
        <v>9535</v>
      </c>
      <c r="C10289" s="5" t="s">
        <v>11</v>
      </c>
      <c r="D10289" s="5" t="s">
        <v>12</v>
      </c>
      <c r="E10289" s="5" t="s">
        <v>3490</v>
      </c>
    </row>
    <row r="10290" spans="1:5" x14ac:dyDescent="0.25">
      <c r="A10290" s="5">
        <f>10282</f>
      </c>
      <c r="B10290" s="5" t="s">
        <v>9536</v>
      </c>
      <c r="C10290" s="5" t="s">
        <v>11</v>
      </c>
      <c r="D10290" s="5" t="s">
        <v>12</v>
      </c>
      <c r="E10290" s="5" t="s">
        <v>784</v>
      </c>
    </row>
    <row r="10291" spans="1:5" x14ac:dyDescent="0.25">
      <c r="A10291" s="5">
        <f>10283</f>
      </c>
      <c r="B10291" s="5" t="s">
        <v>9537</v>
      </c>
      <c r="C10291" s="5" t="s">
        <v>11</v>
      </c>
      <c r="D10291" s="5" t="s">
        <v>12</v>
      </c>
      <c r="E10291" s="5" t="s">
        <v>787</v>
      </c>
    </row>
    <row r="10292" spans="1:5" x14ac:dyDescent="0.25">
      <c r="A10292" s="5">
        <f>10284</f>
      </c>
      <c r="B10292" s="5" t="s">
        <v>9538</v>
      </c>
      <c r="C10292" s="5" t="s">
        <v>11</v>
      </c>
      <c r="D10292" s="5" t="s">
        <v>12</v>
      </c>
      <c r="E10292" s="5" t="s">
        <v>3545</v>
      </c>
    </row>
    <row r="10293" spans="1:5" x14ac:dyDescent="0.25">
      <c r="A10293" s="5">
        <f>10285</f>
      </c>
      <c r="B10293" s="5" t="s">
        <v>9539</v>
      </c>
      <c r="C10293" s="5" t="s">
        <v>11</v>
      </c>
      <c r="D10293" s="5" t="s">
        <v>12</v>
      </c>
      <c r="E10293" s="5" t="s">
        <v>2327</v>
      </c>
    </row>
    <row r="10294" spans="1:5" x14ac:dyDescent="0.25">
      <c r="A10294" s="5">
        <f>10286</f>
      </c>
      <c r="B10294" s="5" t="s">
        <v>9540</v>
      </c>
      <c r="C10294" s="5" t="s">
        <v>11</v>
      </c>
      <c r="D10294" s="5" t="s">
        <v>12</v>
      </c>
      <c r="E10294" s="5" t="s">
        <v>3500</v>
      </c>
    </row>
    <row r="10295" spans="1:5" x14ac:dyDescent="0.25">
      <c r="A10295" s="5">
        <f>10287</f>
      </c>
      <c r="B10295" s="5" t="s">
        <v>9541</v>
      </c>
      <c r="C10295" s="5" t="s">
        <v>11</v>
      </c>
      <c r="D10295" s="5" t="s">
        <v>12</v>
      </c>
      <c r="E10295" s="5" t="s">
        <v>975</v>
      </c>
    </row>
    <row r="10296" spans="1:5" x14ac:dyDescent="0.25">
      <c r="A10296" s="5">
        <f>10288</f>
      </c>
      <c r="B10296" s="5" t="s">
        <v>9542</v>
      </c>
      <c r="C10296" s="5" t="s">
        <v>11</v>
      </c>
      <c r="D10296" s="5" t="s">
        <v>12</v>
      </c>
      <c r="E10296" s="5" t="s">
        <v>728</v>
      </c>
    </row>
    <row r="10297" spans="1:5" x14ac:dyDescent="0.25">
      <c r="A10297" s="5">
        <f>10289</f>
      </c>
      <c r="B10297" s="5" t="s">
        <v>9543</v>
      </c>
      <c r="C10297" s="5" t="s">
        <v>11</v>
      </c>
      <c r="D10297" s="5" t="s">
        <v>12</v>
      </c>
      <c r="E10297" s="5" t="s">
        <v>736</v>
      </c>
    </row>
    <row r="10298" spans="1:5" x14ac:dyDescent="0.25">
      <c r="A10298" s="5">
        <f>10290</f>
      </c>
      <c r="B10298" s="5" t="s">
        <v>9544</v>
      </c>
      <c r="C10298" s="5" t="s">
        <v>11</v>
      </c>
      <c r="D10298" s="5" t="s">
        <v>12</v>
      </c>
      <c r="E10298" s="5" t="s">
        <v>3500</v>
      </c>
    </row>
    <row r="10299" spans="1:5" x14ac:dyDescent="0.25">
      <c r="A10299" s="5">
        <f>10291</f>
      </c>
      <c r="B10299" s="5" t="s">
        <v>9545</v>
      </c>
      <c r="C10299" s="5" t="s">
        <v>11</v>
      </c>
      <c r="D10299" s="5" t="s">
        <v>12</v>
      </c>
      <c r="E10299" s="5" t="s">
        <v>975</v>
      </c>
    </row>
    <row r="10300" spans="1:5" x14ac:dyDescent="0.25">
      <c r="A10300" s="5">
        <f>10292</f>
      </c>
      <c r="B10300" s="5" t="s">
        <v>9546</v>
      </c>
      <c r="C10300" s="5" t="s">
        <v>11</v>
      </c>
      <c r="D10300" s="5" t="s">
        <v>12</v>
      </c>
      <c r="E10300" s="5" t="s">
        <v>3860</v>
      </c>
    </row>
    <row r="10301" spans="1:5" x14ac:dyDescent="0.25">
      <c r="A10301" s="5">
        <f>10293</f>
      </c>
      <c r="B10301" s="5" t="s">
        <v>9547</v>
      </c>
      <c r="C10301" s="5" t="s">
        <v>11</v>
      </c>
      <c r="D10301" s="5" t="s">
        <v>12</v>
      </c>
      <c r="E10301" s="5" t="s">
        <v>3767</v>
      </c>
    </row>
    <row r="10302" spans="1:5" x14ac:dyDescent="0.25">
      <c r="A10302" s="5">
        <f>10294</f>
      </c>
      <c r="B10302" s="5" t="s">
        <v>9548</v>
      </c>
      <c r="C10302" s="5" t="s">
        <v>11</v>
      </c>
      <c r="D10302" s="5" t="s">
        <v>12</v>
      </c>
      <c r="E10302" s="5" t="s">
        <v>3520</v>
      </c>
    </row>
    <row r="10303" spans="1:5" x14ac:dyDescent="0.25">
      <c r="A10303" s="5">
        <f>10295</f>
      </c>
      <c r="B10303" s="5" t="s">
        <v>9549</v>
      </c>
      <c r="C10303" s="5" t="s">
        <v>11</v>
      </c>
      <c r="D10303" s="5" t="s">
        <v>12</v>
      </c>
      <c r="E10303" s="5" t="s">
        <v>3610</v>
      </c>
    </row>
    <row r="10304" spans="1:5" x14ac:dyDescent="0.25">
      <c r="A10304" s="5">
        <f>10296</f>
      </c>
      <c r="B10304" s="5" t="s">
        <v>9550</v>
      </c>
      <c r="C10304" s="5" t="s">
        <v>11</v>
      </c>
      <c r="D10304" s="5" t="s">
        <v>12</v>
      </c>
      <c r="E10304" s="5" t="s">
        <v>1067</v>
      </c>
    </row>
    <row r="10305" spans="1:5" x14ac:dyDescent="0.25">
      <c r="A10305" s="5">
        <f>10297</f>
      </c>
      <c r="B10305" s="5" t="s">
        <v>9551</v>
      </c>
      <c r="C10305" s="5" t="s">
        <v>11</v>
      </c>
      <c r="D10305" s="5" t="s">
        <v>12</v>
      </c>
      <c r="E10305" s="5" t="s">
        <v>4151</v>
      </c>
    </row>
    <row r="10306" spans="1:5" x14ac:dyDescent="0.25">
      <c r="A10306" s="5">
        <f>10298</f>
      </c>
      <c r="B10306" s="5" t="s">
        <v>9552</v>
      </c>
      <c r="C10306" s="5" t="s">
        <v>11</v>
      </c>
      <c r="D10306" s="5" t="s">
        <v>12</v>
      </c>
      <c r="E10306" s="5" t="s">
        <v>9553</v>
      </c>
    </row>
    <row r="10307" spans="1:5" x14ac:dyDescent="0.25">
      <c r="A10307" s="5">
        <f>10299</f>
      </c>
      <c r="B10307" s="5" t="s">
        <v>9554</v>
      </c>
      <c r="C10307" s="5" t="s">
        <v>11</v>
      </c>
      <c r="D10307" s="5" t="s">
        <v>12</v>
      </c>
      <c r="E10307" s="5" t="s">
        <v>4130</v>
      </c>
    </row>
    <row r="10308" spans="1:5" x14ac:dyDescent="0.25">
      <c r="A10308" s="5">
        <f>10300</f>
      </c>
      <c r="B10308" s="5" t="s">
        <v>9555</v>
      </c>
      <c r="C10308" s="5" t="s">
        <v>11</v>
      </c>
      <c r="D10308" s="5" t="s">
        <v>12</v>
      </c>
      <c r="E10308" s="5" t="s">
        <v>4072</v>
      </c>
    </row>
    <row r="10309" spans="1:5" x14ac:dyDescent="0.25">
      <c r="A10309" s="5">
        <f>10301</f>
      </c>
      <c r="B10309" s="5" t="s">
        <v>9556</v>
      </c>
      <c r="C10309" s="5" t="s">
        <v>11</v>
      </c>
      <c r="D10309" s="5" t="s">
        <v>12</v>
      </c>
      <c r="E10309" s="5" t="s">
        <v>2598</v>
      </c>
    </row>
    <row r="10310" spans="1:5" x14ac:dyDescent="0.25">
      <c r="A10310" s="5">
        <f>10302</f>
      </c>
      <c r="B10310" s="5" t="s">
        <v>9557</v>
      </c>
      <c r="C10310" s="5" t="s">
        <v>11</v>
      </c>
      <c r="D10310" s="5" t="s">
        <v>12</v>
      </c>
      <c r="E10310" s="5" t="s">
        <v>875</v>
      </c>
    </row>
    <row r="10311" spans="1:5" x14ac:dyDescent="0.25">
      <c r="A10311" s="5">
        <f>10303</f>
      </c>
      <c r="B10311" s="5" t="s">
        <v>9558</v>
      </c>
      <c r="C10311" s="5" t="s">
        <v>11</v>
      </c>
      <c r="D10311" s="5" t="s">
        <v>12</v>
      </c>
      <c r="E10311" s="5" t="s">
        <v>2819</v>
      </c>
    </row>
    <row r="10312" spans="1:5" x14ac:dyDescent="0.25">
      <c r="A10312" s="5">
        <f>10304</f>
      </c>
      <c r="B10312" s="5" t="s">
        <v>9559</v>
      </c>
      <c r="C10312" s="5" t="s">
        <v>11</v>
      </c>
      <c r="D10312" s="5" t="s">
        <v>12</v>
      </c>
      <c r="E10312" s="5" t="s">
        <v>2386</v>
      </c>
    </row>
    <row r="10313" spans="1:5" x14ac:dyDescent="0.25">
      <c r="A10313" s="5">
        <f>10305</f>
      </c>
      <c r="B10313" s="5" t="s">
        <v>9560</v>
      </c>
      <c r="C10313" s="5" t="s">
        <v>11</v>
      </c>
      <c r="D10313" s="5" t="s">
        <v>12</v>
      </c>
      <c r="E10313" s="5" t="s">
        <v>869</v>
      </c>
    </row>
    <row r="10314" spans="1:5" x14ac:dyDescent="0.25">
      <c r="A10314" s="5">
        <f>10306</f>
      </c>
      <c r="B10314" s="5" t="s">
        <v>9561</v>
      </c>
      <c r="C10314" s="5" t="s">
        <v>11</v>
      </c>
      <c r="D10314" s="5" t="s">
        <v>12</v>
      </c>
      <c r="E10314" s="5" t="s">
        <v>2247</v>
      </c>
    </row>
    <row r="10315" spans="1:5" x14ac:dyDescent="0.25">
      <c r="A10315" s="5">
        <f>10307</f>
      </c>
      <c r="B10315" s="5" t="s">
        <v>9562</v>
      </c>
      <c r="C10315" s="5" t="s">
        <v>11</v>
      </c>
      <c r="D10315" s="5" t="s">
        <v>12</v>
      </c>
      <c r="E10315" s="5" t="s">
        <v>2675</v>
      </c>
    </row>
    <row r="10316" spans="1:5" x14ac:dyDescent="0.25">
      <c r="A10316" s="5">
        <f>10308</f>
      </c>
      <c r="B10316" s="5" t="s">
        <v>9563</v>
      </c>
      <c r="C10316" s="5" t="s">
        <v>11</v>
      </c>
      <c r="D10316" s="5" t="s">
        <v>12</v>
      </c>
      <c r="E10316" s="5" t="s">
        <v>2586</v>
      </c>
    </row>
    <row r="10317" spans="1:5" x14ac:dyDescent="0.25">
      <c r="A10317" s="5">
        <f>10309</f>
      </c>
      <c r="B10317" s="5" t="s">
        <v>9564</v>
      </c>
      <c r="C10317" s="5" t="s">
        <v>11</v>
      </c>
      <c r="D10317" s="5" t="s">
        <v>12</v>
      </c>
      <c r="E10317" s="5" t="s">
        <v>2821</v>
      </c>
    </row>
    <row r="10318" spans="1:5" x14ac:dyDescent="0.25">
      <c r="A10318" s="5">
        <f>10310</f>
      </c>
      <c r="B10318" s="5" t="s">
        <v>9565</v>
      </c>
      <c r="C10318" s="5" t="s">
        <v>11</v>
      </c>
      <c r="D10318" s="5" t="s">
        <v>12</v>
      </c>
      <c r="E10318" s="5" t="s">
        <v>966</v>
      </c>
    </row>
    <row r="10319" spans="1:5" x14ac:dyDescent="0.25">
      <c r="A10319" s="5">
        <f>10311</f>
      </c>
      <c r="B10319" s="5" t="s">
        <v>9566</v>
      </c>
      <c r="C10319" s="5" t="s">
        <v>11</v>
      </c>
      <c r="D10319" s="5" t="s">
        <v>12</v>
      </c>
      <c r="E10319" s="5" t="s">
        <v>772</v>
      </c>
    </row>
    <row r="10320" spans="1:5" x14ac:dyDescent="0.25">
      <c r="A10320" s="5">
        <f>10312</f>
      </c>
      <c r="B10320" s="5" t="s">
        <v>9567</v>
      </c>
      <c r="C10320" s="5" t="s">
        <v>11</v>
      </c>
      <c r="D10320" s="5" t="s">
        <v>12</v>
      </c>
      <c r="E10320" s="5" t="s">
        <v>966</v>
      </c>
    </row>
    <row r="10321" spans="1:5" x14ac:dyDescent="0.25">
      <c r="A10321" s="5">
        <f>10313</f>
      </c>
      <c r="B10321" s="5" t="s">
        <v>9568</v>
      </c>
      <c r="C10321" s="5" t="s">
        <v>11</v>
      </c>
      <c r="D10321" s="5" t="s">
        <v>12</v>
      </c>
      <c r="E10321" s="5" t="s">
        <v>4120</v>
      </c>
    </row>
    <row r="10322" spans="1:5" x14ac:dyDescent="0.25">
      <c r="A10322" s="5">
        <f>10314</f>
      </c>
      <c r="B10322" s="5" t="s">
        <v>9569</v>
      </c>
      <c r="C10322" s="5" t="s">
        <v>11</v>
      </c>
      <c r="D10322" s="5" t="s">
        <v>12</v>
      </c>
      <c r="E10322" s="5" t="s">
        <v>4120</v>
      </c>
    </row>
    <row r="10323" spans="1:5" x14ac:dyDescent="0.25">
      <c r="A10323" s="5">
        <f>10315</f>
      </c>
      <c r="B10323" s="5" t="s">
        <v>9570</v>
      </c>
      <c r="C10323" s="5" t="s">
        <v>11</v>
      </c>
      <c r="D10323" s="5" t="s">
        <v>12</v>
      </c>
      <c r="E10323" s="5" t="s">
        <v>819</v>
      </c>
    </row>
    <row r="10324" spans="1:5" x14ac:dyDescent="0.25">
      <c r="A10324" s="5">
        <f>10316</f>
      </c>
      <c r="B10324" s="5" t="s">
        <v>9571</v>
      </c>
      <c r="C10324" s="5" t="s">
        <v>11</v>
      </c>
      <c r="D10324" s="5" t="s">
        <v>12</v>
      </c>
      <c r="E10324" s="5" t="s">
        <v>2338</v>
      </c>
    </row>
    <row r="10325" spans="1:5" x14ac:dyDescent="0.25">
      <c r="A10325" s="5">
        <f>10317</f>
      </c>
      <c r="B10325" s="5" t="s">
        <v>9572</v>
      </c>
      <c r="C10325" s="5" t="s">
        <v>11</v>
      </c>
      <c r="D10325" s="5" t="s">
        <v>12</v>
      </c>
      <c r="E10325" s="5" t="s">
        <v>3723</v>
      </c>
    </row>
    <row r="10326" spans="1:5" x14ac:dyDescent="0.25">
      <c r="A10326" s="5">
        <f>10318</f>
      </c>
      <c r="B10326" s="5" t="s">
        <v>9573</v>
      </c>
      <c r="C10326" s="5" t="s">
        <v>11</v>
      </c>
      <c r="D10326" s="5" t="s">
        <v>12</v>
      </c>
      <c r="E10326" s="5" t="s">
        <v>3608</v>
      </c>
    </row>
    <row r="10327" spans="1:5" x14ac:dyDescent="0.25">
      <c r="A10327" s="5">
        <f>10319</f>
      </c>
      <c r="B10327" s="5" t="s">
        <v>9574</v>
      </c>
      <c r="C10327" s="5" t="s">
        <v>11</v>
      </c>
      <c r="D10327" s="5" t="s">
        <v>12</v>
      </c>
      <c r="E10327" s="5" t="s">
        <v>975</v>
      </c>
    </row>
    <row r="10328" spans="1:5" x14ac:dyDescent="0.25">
      <c r="A10328" s="5">
        <f>10320</f>
      </c>
      <c r="B10328" s="5" t="s">
        <v>9575</v>
      </c>
      <c r="C10328" s="5" t="s">
        <v>11</v>
      </c>
      <c r="D10328" s="5" t="s">
        <v>12</v>
      </c>
      <c r="E10328" s="5" t="s">
        <v>2626</v>
      </c>
    </row>
    <row r="10329" spans="1:5" x14ac:dyDescent="0.25">
      <c r="A10329" s="5">
        <f>10321</f>
      </c>
      <c r="B10329" s="5" t="s">
        <v>9576</v>
      </c>
      <c r="C10329" s="5" t="s">
        <v>11</v>
      </c>
      <c r="D10329" s="5" t="s">
        <v>12</v>
      </c>
      <c r="E10329" s="5" t="s">
        <v>3493</v>
      </c>
    </row>
    <row r="10330" spans="1:5" x14ac:dyDescent="0.25">
      <c r="A10330" s="5">
        <f>10322</f>
      </c>
      <c r="B10330" s="5" t="s">
        <v>9577</v>
      </c>
      <c r="C10330" s="5" t="s">
        <v>11</v>
      </c>
      <c r="D10330" s="5" t="s">
        <v>12</v>
      </c>
      <c r="E10330" s="5" t="s">
        <v>9578</v>
      </c>
    </row>
    <row r="10331" spans="1:5" x14ac:dyDescent="0.25">
      <c r="A10331" s="5">
        <f>10323</f>
      </c>
      <c r="B10331" s="5" t="s">
        <v>9579</v>
      </c>
      <c r="C10331" s="5" t="s">
        <v>11</v>
      </c>
      <c r="D10331" s="5" t="s">
        <v>12</v>
      </c>
      <c r="E10331" s="5" t="s">
        <v>4164</v>
      </c>
    </row>
    <row r="10332" spans="1:5" x14ac:dyDescent="0.25">
      <c r="A10332" s="5">
        <f>10324</f>
      </c>
      <c r="B10332" s="5" t="s">
        <v>9580</v>
      </c>
      <c r="C10332" s="5" t="s">
        <v>11</v>
      </c>
      <c r="D10332" s="5" t="s">
        <v>12</v>
      </c>
      <c r="E10332" s="5" t="s">
        <v>2293</v>
      </c>
    </row>
    <row r="10333" spans="1:5" x14ac:dyDescent="0.25">
      <c r="A10333" s="5">
        <f>10325</f>
      </c>
      <c r="B10333" s="5" t="s">
        <v>9581</v>
      </c>
      <c r="C10333" s="5" t="s">
        <v>11</v>
      </c>
      <c r="D10333" s="5" t="s">
        <v>12</v>
      </c>
      <c r="E10333" s="5" t="s">
        <v>718</v>
      </c>
    </row>
    <row r="10334" spans="1:5" x14ac:dyDescent="0.25">
      <c r="A10334" s="5">
        <f>10326</f>
      </c>
      <c r="B10334" s="5" t="s">
        <v>9582</v>
      </c>
      <c r="C10334" s="5" t="s">
        <v>11</v>
      </c>
      <c r="D10334" s="5" t="s">
        <v>12</v>
      </c>
      <c r="E10334" s="5" t="s">
        <v>2251</v>
      </c>
    </row>
    <row r="10335" spans="1:5" x14ac:dyDescent="0.25">
      <c r="A10335" s="5">
        <f>10327</f>
      </c>
      <c r="B10335" s="5" t="s">
        <v>9583</v>
      </c>
      <c r="C10335" s="5" t="s">
        <v>11</v>
      </c>
      <c r="D10335" s="5" t="s">
        <v>12</v>
      </c>
      <c r="E10335" s="5" t="s">
        <v>849</v>
      </c>
    </row>
    <row r="10336" spans="1:5" x14ac:dyDescent="0.25">
      <c r="A10336" s="5">
        <f>10328</f>
      </c>
      <c r="B10336" s="5" t="s">
        <v>9584</v>
      </c>
      <c r="C10336" s="5" t="s">
        <v>11</v>
      </c>
      <c r="D10336" s="5" t="s">
        <v>12</v>
      </c>
      <c r="E10336" s="5" t="s">
        <v>3688</v>
      </c>
    </row>
    <row r="10337" spans="1:5" x14ac:dyDescent="0.25">
      <c r="A10337" s="5">
        <f>10329</f>
      </c>
      <c r="B10337" s="5" t="s">
        <v>9585</v>
      </c>
      <c r="C10337" s="5" t="s">
        <v>11</v>
      </c>
      <c r="D10337" s="5" t="s">
        <v>12</v>
      </c>
      <c r="E10337" s="5" t="s">
        <v>4164</v>
      </c>
    </row>
    <row r="10338" spans="1:5" x14ac:dyDescent="0.25">
      <c r="A10338" s="5">
        <f>10330</f>
      </c>
      <c r="B10338" s="5" t="s">
        <v>9586</v>
      </c>
      <c r="C10338" s="5" t="s">
        <v>11</v>
      </c>
      <c r="D10338" s="5" t="s">
        <v>12</v>
      </c>
      <c r="E10338" s="5" t="s">
        <v>775</v>
      </c>
    </row>
    <row r="10339" spans="1:5" x14ac:dyDescent="0.25">
      <c r="A10339" s="5">
        <f>10331</f>
      </c>
      <c r="B10339" s="5" t="s">
        <v>9587</v>
      </c>
      <c r="C10339" s="5" t="s">
        <v>11</v>
      </c>
      <c r="D10339" s="5" t="s">
        <v>12</v>
      </c>
      <c r="E10339" s="5" t="s">
        <v>3932</v>
      </c>
    </row>
    <row r="10340" spans="1:5" x14ac:dyDescent="0.25">
      <c r="A10340" s="5">
        <f>10332</f>
      </c>
      <c r="B10340" s="5" t="s">
        <v>9588</v>
      </c>
      <c r="C10340" s="5" t="s">
        <v>11</v>
      </c>
      <c r="D10340" s="5" t="s">
        <v>12</v>
      </c>
      <c r="E10340" s="5" t="s">
        <v>3932</v>
      </c>
    </row>
    <row r="10341" spans="1:5" x14ac:dyDescent="0.25">
      <c r="A10341" s="5">
        <f>10333</f>
      </c>
      <c r="B10341" s="5" t="s">
        <v>9589</v>
      </c>
      <c r="C10341" s="5" t="s">
        <v>11</v>
      </c>
      <c r="D10341" s="5" t="s">
        <v>12</v>
      </c>
      <c r="E10341" s="5" t="s">
        <v>3932</v>
      </c>
    </row>
    <row r="10342" spans="1:5" x14ac:dyDescent="0.25">
      <c r="A10342" s="5">
        <f>10334</f>
      </c>
      <c r="B10342" s="5" t="s">
        <v>9590</v>
      </c>
      <c r="C10342" s="5" t="s">
        <v>11</v>
      </c>
      <c r="D10342" s="5" t="s">
        <v>12</v>
      </c>
      <c r="E10342" s="5" t="s">
        <v>3932</v>
      </c>
    </row>
    <row r="10343" spans="1:5" x14ac:dyDescent="0.25">
      <c r="A10343" s="5">
        <f>10335</f>
      </c>
      <c r="B10343" s="5" t="s">
        <v>9591</v>
      </c>
      <c r="C10343" s="5" t="s">
        <v>11</v>
      </c>
      <c r="D10343" s="5" t="s">
        <v>12</v>
      </c>
      <c r="E10343" s="5" t="s">
        <v>3932</v>
      </c>
    </row>
    <row r="10344" spans="1:5" x14ac:dyDescent="0.25">
      <c r="A10344" s="5">
        <f>10336</f>
      </c>
      <c r="B10344" s="5" t="s">
        <v>9592</v>
      </c>
      <c r="C10344" s="5" t="s">
        <v>11</v>
      </c>
      <c r="D10344" s="5" t="s">
        <v>12</v>
      </c>
      <c r="E10344" s="5" t="s">
        <v>3932</v>
      </c>
    </row>
    <row r="10345" spans="1:5" x14ac:dyDescent="0.25">
      <c r="A10345" s="5">
        <f>10337</f>
      </c>
      <c r="B10345" s="5" t="s">
        <v>9593</v>
      </c>
      <c r="C10345" s="5" t="s">
        <v>11</v>
      </c>
      <c r="D10345" s="5" t="s">
        <v>12</v>
      </c>
      <c r="E10345" s="5" t="s">
        <v>3932</v>
      </c>
    </row>
    <row r="10346" spans="1:5" x14ac:dyDescent="0.25">
      <c r="A10346" s="5">
        <f>10338</f>
      </c>
      <c r="B10346" s="5" t="s">
        <v>9594</v>
      </c>
      <c r="C10346" s="5" t="s">
        <v>11</v>
      </c>
      <c r="D10346" s="5" t="s">
        <v>12</v>
      </c>
      <c r="E10346" s="5" t="s">
        <v>3932</v>
      </c>
    </row>
    <row r="10347" spans="1:5" x14ac:dyDescent="0.25">
      <c r="A10347" s="5">
        <f>10339</f>
      </c>
      <c r="B10347" s="5" t="s">
        <v>9595</v>
      </c>
      <c r="C10347" s="5" t="s">
        <v>11</v>
      </c>
      <c r="D10347" s="5" t="s">
        <v>12</v>
      </c>
      <c r="E10347" s="5" t="s">
        <v>3932</v>
      </c>
    </row>
    <row r="10348" spans="1:5" x14ac:dyDescent="0.25">
      <c r="A10348" s="5">
        <f>10340</f>
      </c>
      <c r="B10348" s="5" t="s">
        <v>9596</v>
      </c>
      <c r="C10348" s="5" t="s">
        <v>11</v>
      </c>
      <c r="D10348" s="5" t="s">
        <v>12</v>
      </c>
      <c r="E10348" s="5" t="s">
        <v>3932</v>
      </c>
    </row>
    <row r="10349" spans="1:5" x14ac:dyDescent="0.25">
      <c r="A10349" s="5">
        <f>10341</f>
      </c>
      <c r="B10349" s="5" t="s">
        <v>9597</v>
      </c>
      <c r="C10349" s="5" t="s">
        <v>11</v>
      </c>
      <c r="D10349" s="5" t="s">
        <v>12</v>
      </c>
      <c r="E10349" s="5" t="s">
        <v>3932</v>
      </c>
    </row>
    <row r="10350" spans="1:5" x14ac:dyDescent="0.25">
      <c r="A10350" s="5">
        <f>10342</f>
      </c>
      <c r="B10350" s="5" t="s">
        <v>9598</v>
      </c>
      <c r="C10350" s="5" t="s">
        <v>11</v>
      </c>
      <c r="D10350" s="5" t="s">
        <v>12</v>
      </c>
      <c r="E10350" s="5" t="s">
        <v>3932</v>
      </c>
    </row>
    <row r="10351" spans="1:5" x14ac:dyDescent="0.25">
      <c r="A10351" s="5">
        <f>10343</f>
      </c>
      <c r="B10351" s="5" t="s">
        <v>9599</v>
      </c>
      <c r="C10351" s="5" t="s">
        <v>11</v>
      </c>
      <c r="D10351" s="5" t="s">
        <v>12</v>
      </c>
      <c r="E10351" s="5" t="s">
        <v>3932</v>
      </c>
    </row>
    <row r="10352" spans="1:5" x14ac:dyDescent="0.25">
      <c r="A10352" s="5">
        <f>10344</f>
      </c>
      <c r="B10352" s="5" t="s">
        <v>9600</v>
      </c>
      <c r="C10352" s="5" t="s">
        <v>11</v>
      </c>
      <c r="D10352" s="5" t="s">
        <v>12</v>
      </c>
      <c r="E10352" s="5" t="s">
        <v>3932</v>
      </c>
    </row>
    <row r="10353" spans="1:5" x14ac:dyDescent="0.25">
      <c r="A10353" s="5">
        <f>10345</f>
      </c>
      <c r="B10353" s="5" t="s">
        <v>9601</v>
      </c>
      <c r="C10353" s="5" t="s">
        <v>11</v>
      </c>
      <c r="D10353" s="5" t="s">
        <v>12</v>
      </c>
      <c r="E10353" s="5" t="s">
        <v>3932</v>
      </c>
    </row>
    <row r="10354" spans="1:5" x14ac:dyDescent="0.25">
      <c r="A10354" s="5">
        <f>10346</f>
      </c>
      <c r="B10354" s="5" t="s">
        <v>9602</v>
      </c>
      <c r="C10354" s="5" t="s">
        <v>11</v>
      </c>
      <c r="D10354" s="5" t="s">
        <v>12</v>
      </c>
      <c r="E10354" s="5" t="s">
        <v>3932</v>
      </c>
    </row>
    <row r="10355" spans="1:5" x14ac:dyDescent="0.25">
      <c r="A10355" s="5">
        <f>10347</f>
      </c>
      <c r="B10355" s="5" t="s">
        <v>9603</v>
      </c>
      <c r="C10355" s="5" t="s">
        <v>11</v>
      </c>
      <c r="D10355" s="5" t="s">
        <v>12</v>
      </c>
      <c r="E10355" s="5" t="s">
        <v>3932</v>
      </c>
    </row>
    <row r="10356" spans="1:5" x14ac:dyDescent="0.25">
      <c r="A10356" s="5">
        <f>10348</f>
      </c>
      <c r="B10356" s="5" t="s">
        <v>9604</v>
      </c>
      <c r="C10356" s="5" t="s">
        <v>11</v>
      </c>
      <c r="D10356" s="5" t="s">
        <v>12</v>
      </c>
      <c r="E10356" s="5" t="s">
        <v>3932</v>
      </c>
    </row>
    <row r="10357" spans="1:5" x14ac:dyDescent="0.25">
      <c r="A10357" s="5">
        <f>10349</f>
      </c>
      <c r="B10357" s="5" t="s">
        <v>9605</v>
      </c>
      <c r="C10357" s="5" t="s">
        <v>11</v>
      </c>
      <c r="D10357" s="5" t="s">
        <v>12</v>
      </c>
      <c r="E10357" s="5" t="s">
        <v>3932</v>
      </c>
    </row>
    <row r="10358" spans="1:5" x14ac:dyDescent="0.25">
      <c r="A10358" s="5">
        <f>10350</f>
      </c>
      <c r="B10358" s="5" t="s">
        <v>9606</v>
      </c>
      <c r="C10358" s="5" t="s">
        <v>11</v>
      </c>
      <c r="D10358" s="5" t="s">
        <v>12</v>
      </c>
      <c r="E10358" s="5" t="s">
        <v>3932</v>
      </c>
    </row>
    <row r="10359" spans="1:5" x14ac:dyDescent="0.25">
      <c r="A10359" s="5">
        <f>10351</f>
      </c>
      <c r="B10359" s="5" t="s">
        <v>9607</v>
      </c>
      <c r="C10359" s="5" t="s">
        <v>11</v>
      </c>
      <c r="D10359" s="5" t="s">
        <v>12</v>
      </c>
      <c r="E10359" s="5" t="s">
        <v>3932</v>
      </c>
    </row>
    <row r="10360" spans="1:5" x14ac:dyDescent="0.25">
      <c r="A10360" s="5">
        <f>10352</f>
      </c>
      <c r="B10360" s="5" t="s">
        <v>9608</v>
      </c>
      <c r="C10360" s="5" t="s">
        <v>11</v>
      </c>
      <c r="D10360" s="5" t="s">
        <v>12</v>
      </c>
      <c r="E10360" s="5" t="s">
        <v>3932</v>
      </c>
    </row>
    <row r="10361" spans="1:5" x14ac:dyDescent="0.25">
      <c r="A10361" s="5">
        <f>10353</f>
      </c>
      <c r="B10361" s="5" t="s">
        <v>9609</v>
      </c>
      <c r="C10361" s="5" t="s">
        <v>11</v>
      </c>
      <c r="D10361" s="5" t="s">
        <v>12</v>
      </c>
      <c r="E10361" s="5" t="s">
        <v>3932</v>
      </c>
    </row>
    <row r="10362" spans="1:5" x14ac:dyDescent="0.25">
      <c r="A10362" s="5">
        <f>10354</f>
      </c>
      <c r="B10362" s="5" t="s">
        <v>9610</v>
      </c>
      <c r="C10362" s="5" t="s">
        <v>11</v>
      </c>
      <c r="D10362" s="5" t="s">
        <v>12</v>
      </c>
      <c r="E10362" s="5" t="s">
        <v>2296</v>
      </c>
    </row>
    <row r="10363" spans="1:5" x14ac:dyDescent="0.25">
      <c r="A10363" s="5">
        <f>10355</f>
      </c>
      <c r="B10363" s="5" t="s">
        <v>9611</v>
      </c>
      <c r="C10363" s="5" t="s">
        <v>11</v>
      </c>
      <c r="D10363" s="5" t="s">
        <v>12</v>
      </c>
      <c r="E10363" s="5" t="s">
        <v>2296</v>
      </c>
    </row>
    <row r="10364" spans="1:5" x14ac:dyDescent="0.25">
      <c r="A10364" s="5">
        <f>10356</f>
      </c>
      <c r="B10364" s="5" t="s">
        <v>9612</v>
      </c>
      <c r="C10364" s="5" t="s">
        <v>11</v>
      </c>
      <c r="D10364" s="5" t="s">
        <v>12</v>
      </c>
      <c r="E10364" s="5" t="s">
        <v>2296</v>
      </c>
    </row>
    <row r="10365" spans="1:5" x14ac:dyDescent="0.25">
      <c r="A10365" s="5">
        <f>10357</f>
      </c>
      <c r="B10365" s="5" t="s">
        <v>9613</v>
      </c>
      <c r="C10365" s="5" t="s">
        <v>11</v>
      </c>
      <c r="D10365" s="5" t="s">
        <v>12</v>
      </c>
      <c r="E10365" s="5" t="s">
        <v>2296</v>
      </c>
    </row>
    <row r="10366" spans="1:5" x14ac:dyDescent="0.25">
      <c r="A10366" s="5">
        <f>10358</f>
      </c>
      <c r="B10366" s="5" t="s">
        <v>9614</v>
      </c>
      <c r="C10366" s="5" t="s">
        <v>11</v>
      </c>
      <c r="D10366" s="5" t="s">
        <v>12</v>
      </c>
      <c r="E10366" s="5" t="s">
        <v>2296</v>
      </c>
    </row>
    <row r="10367" spans="1:5" x14ac:dyDescent="0.25">
      <c r="A10367" s="5">
        <f>10359</f>
      </c>
      <c r="B10367" s="5" t="s">
        <v>9615</v>
      </c>
      <c r="C10367" s="5" t="s">
        <v>11</v>
      </c>
      <c r="D10367" s="5" t="s">
        <v>12</v>
      </c>
      <c r="E10367" s="5" t="s">
        <v>2296</v>
      </c>
    </row>
    <row r="10368" spans="1:5" x14ac:dyDescent="0.25">
      <c r="A10368" s="5">
        <f>10360</f>
      </c>
      <c r="B10368" s="5" t="s">
        <v>9616</v>
      </c>
      <c r="C10368" s="5" t="s">
        <v>11</v>
      </c>
      <c r="D10368" s="5" t="s">
        <v>12</v>
      </c>
      <c r="E10368" s="5" t="s">
        <v>2296</v>
      </c>
    </row>
    <row r="10369" spans="1:5" x14ac:dyDescent="0.25">
      <c r="A10369" s="5">
        <f>10361</f>
      </c>
      <c r="B10369" s="5" t="s">
        <v>9617</v>
      </c>
      <c r="C10369" s="5" t="s">
        <v>11</v>
      </c>
      <c r="D10369" s="5" t="s">
        <v>12</v>
      </c>
      <c r="E10369" s="5" t="s">
        <v>2296</v>
      </c>
    </row>
    <row r="10370" spans="1:5" x14ac:dyDescent="0.25">
      <c r="A10370" s="5">
        <f>10362</f>
      </c>
      <c r="B10370" s="5" t="s">
        <v>9618</v>
      </c>
      <c r="C10370" s="5" t="s">
        <v>11</v>
      </c>
      <c r="D10370" s="5" t="s">
        <v>12</v>
      </c>
      <c r="E10370" s="5" t="s">
        <v>2296</v>
      </c>
    </row>
    <row r="10371" spans="1:5" x14ac:dyDescent="0.25">
      <c r="A10371" s="5">
        <f>10363</f>
      </c>
      <c r="B10371" s="5" t="s">
        <v>9619</v>
      </c>
      <c r="C10371" s="5" t="s">
        <v>11</v>
      </c>
      <c r="D10371" s="5" t="s">
        <v>12</v>
      </c>
      <c r="E10371" s="5" t="s">
        <v>2296</v>
      </c>
    </row>
    <row r="10372" spans="1:5" x14ac:dyDescent="0.25">
      <c r="A10372" s="5">
        <f>10364</f>
      </c>
      <c r="B10372" s="5" t="s">
        <v>9620</v>
      </c>
      <c r="C10372" s="5" t="s">
        <v>11</v>
      </c>
      <c r="D10372" s="5" t="s">
        <v>12</v>
      </c>
      <c r="E10372" s="5" t="s">
        <v>2296</v>
      </c>
    </row>
    <row r="10373" spans="1:5" x14ac:dyDescent="0.25">
      <c r="A10373" s="5">
        <f>10365</f>
      </c>
      <c r="B10373" s="5" t="s">
        <v>9621</v>
      </c>
      <c r="C10373" s="5" t="s">
        <v>11</v>
      </c>
      <c r="D10373" s="5" t="s">
        <v>12</v>
      </c>
      <c r="E10373" s="5" t="s">
        <v>2296</v>
      </c>
    </row>
    <row r="10374" spans="1:5" x14ac:dyDescent="0.25">
      <c r="A10374" s="5">
        <f>10366</f>
      </c>
      <c r="B10374" s="5" t="s">
        <v>9622</v>
      </c>
      <c r="C10374" s="5" t="s">
        <v>11</v>
      </c>
      <c r="D10374" s="5" t="s">
        <v>12</v>
      </c>
      <c r="E10374" s="5" t="s">
        <v>2296</v>
      </c>
    </row>
    <row r="10375" spans="1:5" x14ac:dyDescent="0.25">
      <c r="A10375" s="5">
        <f>10367</f>
      </c>
      <c r="B10375" s="5" t="s">
        <v>9623</v>
      </c>
      <c r="C10375" s="5" t="s">
        <v>11</v>
      </c>
      <c r="D10375" s="5" t="s">
        <v>12</v>
      </c>
      <c r="E10375" s="5" t="s">
        <v>2296</v>
      </c>
    </row>
    <row r="10376" spans="1:5" x14ac:dyDescent="0.25">
      <c r="A10376" s="5">
        <f>10368</f>
      </c>
      <c r="B10376" s="5" t="s">
        <v>9624</v>
      </c>
      <c r="C10376" s="5" t="s">
        <v>11</v>
      </c>
      <c r="D10376" s="5" t="s">
        <v>12</v>
      </c>
      <c r="E10376" s="5" t="s">
        <v>2296</v>
      </c>
    </row>
    <row r="10377" spans="1:5" x14ac:dyDescent="0.25">
      <c r="A10377" s="5">
        <f>10369</f>
      </c>
      <c r="B10377" s="5" t="s">
        <v>9625</v>
      </c>
      <c r="C10377" s="5" t="s">
        <v>11</v>
      </c>
      <c r="D10377" s="5" t="s">
        <v>12</v>
      </c>
      <c r="E10377" s="5" t="s">
        <v>2296</v>
      </c>
    </row>
    <row r="10378" spans="1:5" x14ac:dyDescent="0.25">
      <c r="A10378" s="5">
        <f>10370</f>
      </c>
      <c r="B10378" s="5" t="s">
        <v>9626</v>
      </c>
      <c r="C10378" s="5" t="s">
        <v>11</v>
      </c>
      <c r="D10378" s="5" t="s">
        <v>12</v>
      </c>
      <c r="E10378" s="5" t="s">
        <v>2296</v>
      </c>
    </row>
    <row r="10379" spans="1:5" x14ac:dyDescent="0.25">
      <c r="A10379" s="5">
        <f>10371</f>
      </c>
      <c r="B10379" s="5" t="s">
        <v>9627</v>
      </c>
      <c r="C10379" s="5" t="s">
        <v>11</v>
      </c>
      <c r="D10379" s="5" t="s">
        <v>12</v>
      </c>
      <c r="E10379" s="5" t="s">
        <v>2296</v>
      </c>
    </row>
    <row r="10380" spans="1:5" x14ac:dyDescent="0.25">
      <c r="A10380" s="5">
        <f>10372</f>
      </c>
      <c r="B10380" s="5" t="s">
        <v>9628</v>
      </c>
      <c r="C10380" s="5" t="s">
        <v>11</v>
      </c>
      <c r="D10380" s="5" t="s">
        <v>12</v>
      </c>
      <c r="E10380" s="5" t="s">
        <v>2296</v>
      </c>
    </row>
    <row r="10381" spans="1:5" x14ac:dyDescent="0.25">
      <c r="A10381" s="5">
        <f>10373</f>
      </c>
      <c r="B10381" s="5" t="s">
        <v>9629</v>
      </c>
      <c r="C10381" s="5" t="s">
        <v>11</v>
      </c>
      <c r="D10381" s="5" t="s">
        <v>12</v>
      </c>
      <c r="E10381" s="5" t="s">
        <v>2296</v>
      </c>
    </row>
    <row r="10382" spans="1:5" x14ac:dyDescent="0.25">
      <c r="A10382" s="5">
        <f>10374</f>
      </c>
      <c r="B10382" s="5" t="s">
        <v>9630</v>
      </c>
      <c r="C10382" s="5" t="s">
        <v>11</v>
      </c>
      <c r="D10382" s="5" t="s">
        <v>12</v>
      </c>
      <c r="E10382" s="5" t="s">
        <v>2296</v>
      </c>
    </row>
    <row r="10383" spans="1:5" x14ac:dyDescent="0.25">
      <c r="A10383" s="5">
        <f>10375</f>
      </c>
      <c r="B10383" s="5" t="s">
        <v>9631</v>
      </c>
      <c r="C10383" s="5" t="s">
        <v>11</v>
      </c>
      <c r="D10383" s="5" t="s">
        <v>12</v>
      </c>
      <c r="E10383" s="5" t="s">
        <v>2296</v>
      </c>
    </row>
    <row r="10384" spans="1:5" x14ac:dyDescent="0.25">
      <c r="A10384" s="5">
        <f>10376</f>
      </c>
      <c r="B10384" s="5" t="s">
        <v>9632</v>
      </c>
      <c r="C10384" s="5" t="s">
        <v>11</v>
      </c>
      <c r="D10384" s="5" t="s">
        <v>12</v>
      </c>
      <c r="E10384" s="5" t="s">
        <v>2296</v>
      </c>
    </row>
    <row r="10385" spans="1:5" x14ac:dyDescent="0.25">
      <c r="A10385" s="5">
        <f>10377</f>
      </c>
      <c r="B10385" s="5" t="s">
        <v>9633</v>
      </c>
      <c r="C10385" s="5" t="s">
        <v>11</v>
      </c>
      <c r="D10385" s="5" t="s">
        <v>12</v>
      </c>
      <c r="E10385" s="5" t="s">
        <v>2296</v>
      </c>
    </row>
    <row r="10386" spans="1:5" x14ac:dyDescent="0.25">
      <c r="A10386" s="5">
        <f>10378</f>
      </c>
      <c r="B10386" s="5" t="s">
        <v>9634</v>
      </c>
      <c r="C10386" s="5" t="s">
        <v>11</v>
      </c>
      <c r="D10386" s="5" t="s">
        <v>12</v>
      </c>
      <c r="E10386" s="5" t="s">
        <v>2296</v>
      </c>
    </row>
    <row r="10387" spans="1:5" x14ac:dyDescent="0.25">
      <c r="A10387" s="5">
        <f>10379</f>
      </c>
      <c r="B10387" s="5" t="s">
        <v>9635</v>
      </c>
      <c r="C10387" s="5" t="s">
        <v>11</v>
      </c>
      <c r="D10387" s="5" t="s">
        <v>12</v>
      </c>
      <c r="E10387" s="5" t="s">
        <v>2296</v>
      </c>
    </row>
    <row r="10388" spans="1:5" x14ac:dyDescent="0.25">
      <c r="A10388" s="5">
        <f>10380</f>
      </c>
      <c r="B10388" s="5" t="s">
        <v>9636</v>
      </c>
      <c r="C10388" s="5" t="s">
        <v>11</v>
      </c>
      <c r="D10388" s="5" t="s">
        <v>12</v>
      </c>
      <c r="E10388" s="5" t="s">
        <v>2296</v>
      </c>
    </row>
    <row r="10389" spans="1:5" x14ac:dyDescent="0.25">
      <c r="A10389" s="5">
        <f>10381</f>
      </c>
      <c r="B10389" s="5" t="s">
        <v>9637</v>
      </c>
      <c r="C10389" s="5" t="s">
        <v>11</v>
      </c>
      <c r="D10389" s="5" t="s">
        <v>12</v>
      </c>
      <c r="E10389" s="5" t="s">
        <v>2296</v>
      </c>
    </row>
    <row r="10390" spans="1:5" x14ac:dyDescent="0.25">
      <c r="A10390" s="5">
        <f>10382</f>
      </c>
      <c r="B10390" s="5" t="s">
        <v>9638</v>
      </c>
      <c r="C10390" s="5" t="s">
        <v>11</v>
      </c>
      <c r="D10390" s="5" t="s">
        <v>12</v>
      </c>
      <c r="E10390" s="5" t="s">
        <v>2296</v>
      </c>
    </row>
    <row r="10391" spans="1:5" x14ac:dyDescent="0.25">
      <c r="A10391" s="5">
        <f>10383</f>
      </c>
      <c r="B10391" s="5" t="s">
        <v>9639</v>
      </c>
      <c r="C10391" s="5" t="s">
        <v>11</v>
      </c>
      <c r="D10391" s="5" t="s">
        <v>12</v>
      </c>
      <c r="E10391" s="5" t="s">
        <v>2296</v>
      </c>
    </row>
    <row r="10392" spans="1:5" x14ac:dyDescent="0.25">
      <c r="A10392" s="5">
        <f>10384</f>
      </c>
      <c r="B10392" s="5" t="s">
        <v>9640</v>
      </c>
      <c r="C10392" s="5" t="s">
        <v>11</v>
      </c>
      <c r="D10392" s="5" t="s">
        <v>12</v>
      </c>
      <c r="E10392" s="5" t="s">
        <v>2296</v>
      </c>
    </row>
    <row r="10393" spans="1:5" x14ac:dyDescent="0.25">
      <c r="A10393" s="5">
        <f>10385</f>
      </c>
      <c r="B10393" s="5" t="s">
        <v>9641</v>
      </c>
      <c r="C10393" s="5" t="s">
        <v>11</v>
      </c>
      <c r="D10393" s="5" t="s">
        <v>12</v>
      </c>
      <c r="E10393" s="5" t="s">
        <v>2296</v>
      </c>
    </row>
    <row r="10394" spans="1:5" x14ac:dyDescent="0.25">
      <c r="A10394" s="5">
        <f>10386</f>
      </c>
      <c r="B10394" s="5" t="s">
        <v>9642</v>
      </c>
      <c r="C10394" s="5" t="s">
        <v>11</v>
      </c>
      <c r="D10394" s="5" t="s">
        <v>12</v>
      </c>
      <c r="E10394" s="5" t="s">
        <v>2296</v>
      </c>
    </row>
    <row r="10395" spans="1:5" x14ac:dyDescent="0.25">
      <c r="A10395" s="5">
        <f>10387</f>
      </c>
      <c r="B10395" s="5" t="s">
        <v>9643</v>
      </c>
      <c r="C10395" s="5" t="s">
        <v>11</v>
      </c>
      <c r="D10395" s="5" t="s">
        <v>12</v>
      </c>
      <c r="E10395" s="5" t="s">
        <v>2296</v>
      </c>
    </row>
    <row r="10396" spans="1:5" x14ac:dyDescent="0.25">
      <c r="A10396" s="5">
        <f>10388</f>
      </c>
      <c r="B10396" s="5" t="s">
        <v>9644</v>
      </c>
      <c r="C10396" s="5" t="s">
        <v>11</v>
      </c>
      <c r="D10396" s="5" t="s">
        <v>12</v>
      </c>
      <c r="E10396" s="5" t="s">
        <v>2296</v>
      </c>
    </row>
    <row r="10397" spans="1:5" x14ac:dyDescent="0.25">
      <c r="A10397" s="5">
        <f>10389</f>
      </c>
      <c r="B10397" s="5" t="s">
        <v>9645</v>
      </c>
      <c r="C10397" s="5" t="s">
        <v>11</v>
      </c>
      <c r="D10397" s="5" t="s">
        <v>12</v>
      </c>
      <c r="E10397" s="5" t="s">
        <v>2296</v>
      </c>
    </row>
    <row r="10398" spans="1:5" x14ac:dyDescent="0.25">
      <c r="A10398" s="5">
        <f>10390</f>
      </c>
      <c r="B10398" s="5" t="s">
        <v>9646</v>
      </c>
      <c r="C10398" s="5" t="s">
        <v>11</v>
      </c>
      <c r="D10398" s="5" t="s">
        <v>12</v>
      </c>
      <c r="E10398" s="5" t="s">
        <v>2296</v>
      </c>
    </row>
    <row r="10399" spans="1:5" x14ac:dyDescent="0.25">
      <c r="A10399" s="5">
        <f>10391</f>
      </c>
      <c r="B10399" s="5" t="s">
        <v>9647</v>
      </c>
      <c r="C10399" s="5" t="s">
        <v>11</v>
      </c>
      <c r="D10399" s="5" t="s">
        <v>12</v>
      </c>
      <c r="E10399" s="5" t="s">
        <v>2296</v>
      </c>
    </row>
    <row r="10400" spans="1:5" x14ac:dyDescent="0.25">
      <c r="A10400" s="5">
        <f>10392</f>
      </c>
      <c r="B10400" s="5" t="s">
        <v>9648</v>
      </c>
      <c r="C10400" s="5" t="s">
        <v>11</v>
      </c>
      <c r="D10400" s="5" t="s">
        <v>12</v>
      </c>
      <c r="E10400" s="5" t="s">
        <v>2296</v>
      </c>
    </row>
    <row r="10401" spans="1:5" x14ac:dyDescent="0.25">
      <c r="A10401" s="5">
        <f>10393</f>
      </c>
      <c r="B10401" s="5" t="s">
        <v>9649</v>
      </c>
      <c r="C10401" s="5" t="s">
        <v>11</v>
      </c>
      <c r="D10401" s="5" t="s">
        <v>12</v>
      </c>
      <c r="E10401" s="5" t="s">
        <v>2296</v>
      </c>
    </row>
    <row r="10402" spans="1:5" x14ac:dyDescent="0.25">
      <c r="A10402" s="5">
        <f>10394</f>
      </c>
      <c r="B10402" s="5" t="s">
        <v>9650</v>
      </c>
      <c r="C10402" s="5" t="s">
        <v>11</v>
      </c>
      <c r="D10402" s="5" t="s">
        <v>12</v>
      </c>
      <c r="E10402" s="5" t="s">
        <v>2296</v>
      </c>
    </row>
    <row r="10403" spans="1:5" x14ac:dyDescent="0.25">
      <c r="A10403" s="5">
        <f>10395</f>
      </c>
      <c r="B10403" s="5" t="s">
        <v>9651</v>
      </c>
      <c r="C10403" s="5" t="s">
        <v>11</v>
      </c>
      <c r="D10403" s="5" t="s">
        <v>12</v>
      </c>
      <c r="E10403" s="5" t="s">
        <v>2296</v>
      </c>
    </row>
    <row r="10404" spans="1:5" x14ac:dyDescent="0.25">
      <c r="A10404" s="5">
        <f>10396</f>
      </c>
      <c r="B10404" s="5" t="s">
        <v>9652</v>
      </c>
      <c r="C10404" s="5" t="s">
        <v>11</v>
      </c>
      <c r="D10404" s="5" t="s">
        <v>12</v>
      </c>
      <c r="E10404" s="5" t="s">
        <v>2296</v>
      </c>
    </row>
    <row r="10405" spans="1:5" x14ac:dyDescent="0.25">
      <c r="A10405" s="5">
        <f>10397</f>
      </c>
      <c r="B10405" s="5" t="s">
        <v>9653</v>
      </c>
      <c r="C10405" s="5" t="s">
        <v>11</v>
      </c>
      <c r="D10405" s="5" t="s">
        <v>12</v>
      </c>
      <c r="E10405" s="5" t="s">
        <v>2296</v>
      </c>
    </row>
    <row r="10406" spans="1:5" x14ac:dyDescent="0.25">
      <c r="A10406" s="5">
        <f>10398</f>
      </c>
      <c r="B10406" s="5" t="s">
        <v>9654</v>
      </c>
      <c r="C10406" s="5" t="s">
        <v>11</v>
      </c>
      <c r="D10406" s="5" t="s">
        <v>12</v>
      </c>
      <c r="E10406" s="5" t="s">
        <v>2296</v>
      </c>
    </row>
    <row r="10407" spans="1:5" x14ac:dyDescent="0.25">
      <c r="A10407" s="5">
        <f>10399</f>
      </c>
      <c r="B10407" s="5" t="s">
        <v>9655</v>
      </c>
      <c r="C10407" s="5" t="s">
        <v>11</v>
      </c>
      <c r="D10407" s="5" t="s">
        <v>12</v>
      </c>
      <c r="E10407" s="5" t="s">
        <v>2296</v>
      </c>
    </row>
    <row r="10408" spans="1:5" x14ac:dyDescent="0.25">
      <c r="A10408" s="5">
        <f>10400</f>
      </c>
      <c r="B10408" s="5" t="s">
        <v>9656</v>
      </c>
      <c r="C10408" s="5" t="s">
        <v>11</v>
      </c>
      <c r="D10408" s="5" t="s">
        <v>12</v>
      </c>
      <c r="E10408" s="5" t="s">
        <v>2296</v>
      </c>
    </row>
    <row r="10409" spans="1:5" x14ac:dyDescent="0.25">
      <c r="A10409" s="5">
        <f>10401</f>
      </c>
      <c r="B10409" s="5" t="s">
        <v>9657</v>
      </c>
      <c r="C10409" s="5" t="s">
        <v>11</v>
      </c>
      <c r="D10409" s="5" t="s">
        <v>12</v>
      </c>
      <c r="E10409" s="5" t="s">
        <v>2296</v>
      </c>
    </row>
    <row r="10410" spans="1:5" x14ac:dyDescent="0.25">
      <c r="A10410" s="5">
        <f>10402</f>
      </c>
      <c r="B10410" s="5" t="s">
        <v>9658</v>
      </c>
      <c r="C10410" s="5" t="s">
        <v>11</v>
      </c>
      <c r="D10410" s="5" t="s">
        <v>12</v>
      </c>
      <c r="E10410" s="5" t="s">
        <v>2296</v>
      </c>
    </row>
    <row r="10411" spans="1:5" x14ac:dyDescent="0.25">
      <c r="A10411" s="5">
        <f>10403</f>
      </c>
      <c r="B10411" s="5" t="s">
        <v>9659</v>
      </c>
      <c r="C10411" s="5" t="s">
        <v>11</v>
      </c>
      <c r="D10411" s="5" t="s">
        <v>12</v>
      </c>
      <c r="E10411" s="5" t="s">
        <v>2296</v>
      </c>
    </row>
    <row r="10412" spans="1:5" x14ac:dyDescent="0.25">
      <c r="A10412" s="5">
        <f>10404</f>
      </c>
      <c r="B10412" s="5" t="s">
        <v>9660</v>
      </c>
      <c r="C10412" s="5" t="s">
        <v>11</v>
      </c>
      <c r="D10412" s="5" t="s">
        <v>12</v>
      </c>
      <c r="E10412" s="5" t="s">
        <v>2296</v>
      </c>
    </row>
    <row r="10413" spans="1:5" x14ac:dyDescent="0.25">
      <c r="A10413" s="5">
        <f>10405</f>
      </c>
      <c r="B10413" s="5" t="s">
        <v>9661</v>
      </c>
      <c r="C10413" s="5" t="s">
        <v>11</v>
      </c>
      <c r="D10413" s="5" t="s">
        <v>12</v>
      </c>
      <c r="E10413" s="5" t="s">
        <v>2296</v>
      </c>
    </row>
    <row r="10414" spans="1:5" x14ac:dyDescent="0.25">
      <c r="A10414" s="5">
        <f>10406</f>
      </c>
      <c r="B10414" s="5" t="s">
        <v>9662</v>
      </c>
      <c r="C10414" s="5" t="s">
        <v>11</v>
      </c>
      <c r="D10414" s="5" t="s">
        <v>12</v>
      </c>
      <c r="E10414" s="5" t="s">
        <v>2296</v>
      </c>
    </row>
    <row r="10415" spans="1:5" x14ac:dyDescent="0.25">
      <c r="A10415" s="5">
        <f>10407</f>
      </c>
      <c r="B10415" s="5" t="s">
        <v>9663</v>
      </c>
      <c r="C10415" s="5" t="s">
        <v>11</v>
      </c>
      <c r="D10415" s="5" t="s">
        <v>12</v>
      </c>
      <c r="E10415" s="5" t="s">
        <v>2296</v>
      </c>
    </row>
    <row r="10416" spans="1:5" x14ac:dyDescent="0.25">
      <c r="A10416" s="5">
        <f>10408</f>
      </c>
      <c r="B10416" s="5" t="s">
        <v>9664</v>
      </c>
      <c r="C10416" s="5" t="s">
        <v>11</v>
      </c>
      <c r="D10416" s="5" t="s">
        <v>12</v>
      </c>
      <c r="E10416" s="5" t="s">
        <v>2296</v>
      </c>
    </row>
    <row r="10417" spans="1:5" x14ac:dyDescent="0.25">
      <c r="A10417" s="5">
        <f>10409</f>
      </c>
      <c r="B10417" s="5" t="s">
        <v>9665</v>
      </c>
      <c r="C10417" s="5" t="s">
        <v>11</v>
      </c>
      <c r="D10417" s="5" t="s">
        <v>12</v>
      </c>
      <c r="E10417" s="5" t="s">
        <v>2296</v>
      </c>
    </row>
    <row r="10418" spans="1:5" x14ac:dyDescent="0.25">
      <c r="A10418" s="5">
        <f>10410</f>
      </c>
      <c r="B10418" s="5" t="s">
        <v>9666</v>
      </c>
      <c r="C10418" s="5" t="s">
        <v>11</v>
      </c>
      <c r="D10418" s="5" t="s">
        <v>12</v>
      </c>
      <c r="E10418" s="5" t="s">
        <v>2296</v>
      </c>
    </row>
    <row r="10419" spans="1:5" x14ac:dyDescent="0.25">
      <c r="A10419" s="5">
        <f>10411</f>
      </c>
      <c r="B10419" s="5" t="s">
        <v>9667</v>
      </c>
      <c r="C10419" s="5" t="s">
        <v>11</v>
      </c>
      <c r="D10419" s="5" t="s">
        <v>12</v>
      </c>
      <c r="E10419" s="5" t="s">
        <v>2296</v>
      </c>
    </row>
    <row r="10420" spans="1:5" x14ac:dyDescent="0.25">
      <c r="A10420" s="5">
        <f>10412</f>
      </c>
      <c r="B10420" s="5" t="s">
        <v>9668</v>
      </c>
      <c r="C10420" s="5" t="s">
        <v>11</v>
      </c>
      <c r="D10420" s="5" t="s">
        <v>12</v>
      </c>
      <c r="E10420" s="5" t="s">
        <v>2296</v>
      </c>
    </row>
    <row r="10421" spans="1:5" x14ac:dyDescent="0.25">
      <c r="A10421" s="5">
        <f>10413</f>
      </c>
      <c r="B10421" s="5" t="s">
        <v>9669</v>
      </c>
      <c r="C10421" s="5" t="s">
        <v>11</v>
      </c>
      <c r="D10421" s="5" t="s">
        <v>12</v>
      </c>
      <c r="E10421" s="5" t="s">
        <v>2296</v>
      </c>
    </row>
    <row r="10422" spans="1:5" x14ac:dyDescent="0.25">
      <c r="A10422" s="5">
        <f>10414</f>
      </c>
      <c r="B10422" s="5" t="s">
        <v>9670</v>
      </c>
      <c r="C10422" s="5" t="s">
        <v>11</v>
      </c>
      <c r="D10422" s="5" t="s">
        <v>12</v>
      </c>
      <c r="E10422" s="5" t="s">
        <v>2296</v>
      </c>
    </row>
    <row r="10423" spans="1:5" x14ac:dyDescent="0.25">
      <c r="A10423" s="5">
        <f>10415</f>
      </c>
      <c r="B10423" s="5" t="s">
        <v>9671</v>
      </c>
      <c r="C10423" s="5" t="s">
        <v>11</v>
      </c>
      <c r="D10423" s="5" t="s">
        <v>12</v>
      </c>
      <c r="E10423" s="5" t="s">
        <v>2296</v>
      </c>
    </row>
    <row r="10424" spans="1:5" x14ac:dyDescent="0.25">
      <c r="A10424" s="5">
        <f>10416</f>
      </c>
      <c r="B10424" s="5" t="s">
        <v>9672</v>
      </c>
      <c r="C10424" s="5" t="s">
        <v>11</v>
      </c>
      <c r="D10424" s="5" t="s">
        <v>12</v>
      </c>
      <c r="E10424" s="5" t="s">
        <v>2296</v>
      </c>
    </row>
    <row r="10425" spans="1:5" x14ac:dyDescent="0.25">
      <c r="A10425" s="5">
        <f>10417</f>
      </c>
      <c r="B10425" s="5" t="s">
        <v>9673</v>
      </c>
      <c r="C10425" s="5" t="s">
        <v>11</v>
      </c>
      <c r="D10425" s="5" t="s">
        <v>12</v>
      </c>
      <c r="E10425" s="5" t="s">
        <v>2296</v>
      </c>
    </row>
    <row r="10426" spans="1:5" x14ac:dyDescent="0.25">
      <c r="A10426" s="5">
        <f>10418</f>
      </c>
      <c r="B10426" s="5" t="s">
        <v>9674</v>
      </c>
      <c r="C10426" s="5" t="s">
        <v>11</v>
      </c>
      <c r="D10426" s="5" t="s">
        <v>12</v>
      </c>
      <c r="E10426" s="5" t="s">
        <v>2296</v>
      </c>
    </row>
    <row r="10427" spans="1:5" x14ac:dyDescent="0.25">
      <c r="A10427" s="5">
        <f>10419</f>
      </c>
      <c r="B10427" s="5" t="s">
        <v>9675</v>
      </c>
      <c r="C10427" s="5" t="s">
        <v>11</v>
      </c>
      <c r="D10427" s="5" t="s">
        <v>12</v>
      </c>
      <c r="E10427" s="5" t="s">
        <v>2296</v>
      </c>
    </row>
    <row r="10428" spans="1:5" x14ac:dyDescent="0.25">
      <c r="A10428" s="5">
        <f>10420</f>
      </c>
      <c r="B10428" s="5" t="s">
        <v>9676</v>
      </c>
      <c r="C10428" s="5" t="s">
        <v>11</v>
      </c>
      <c r="D10428" s="5" t="s">
        <v>12</v>
      </c>
      <c r="E10428" s="5" t="s">
        <v>2296</v>
      </c>
    </row>
    <row r="10429" spans="1:5" x14ac:dyDescent="0.25">
      <c r="A10429" s="5">
        <f>10421</f>
      </c>
      <c r="B10429" s="5" t="s">
        <v>9677</v>
      </c>
      <c r="C10429" s="5" t="s">
        <v>11</v>
      </c>
      <c r="D10429" s="5" t="s">
        <v>12</v>
      </c>
      <c r="E10429" s="5" t="s">
        <v>2296</v>
      </c>
    </row>
    <row r="10430" spans="1:5" x14ac:dyDescent="0.25">
      <c r="A10430" s="5">
        <f>10422</f>
      </c>
      <c r="B10430" s="5" t="s">
        <v>9678</v>
      </c>
      <c r="C10430" s="5" t="s">
        <v>11</v>
      </c>
      <c r="D10430" s="5" t="s">
        <v>12</v>
      </c>
      <c r="E10430" s="5" t="s">
        <v>2296</v>
      </c>
    </row>
    <row r="10431" spans="1:5" x14ac:dyDescent="0.25">
      <c r="A10431" s="5">
        <f>10423</f>
      </c>
      <c r="B10431" s="5" t="s">
        <v>9679</v>
      </c>
      <c r="C10431" s="5" t="s">
        <v>11</v>
      </c>
      <c r="D10431" s="5" t="s">
        <v>12</v>
      </c>
      <c r="E10431" s="5" t="s">
        <v>2296</v>
      </c>
    </row>
    <row r="10432" spans="1:5" x14ac:dyDescent="0.25">
      <c r="A10432" s="5">
        <f>10424</f>
      </c>
      <c r="B10432" s="5" t="s">
        <v>9680</v>
      </c>
      <c r="C10432" s="5" t="s">
        <v>11</v>
      </c>
      <c r="D10432" s="5" t="s">
        <v>12</v>
      </c>
      <c r="E10432" s="5" t="s">
        <v>2296</v>
      </c>
    </row>
    <row r="10433" spans="1:5" x14ac:dyDescent="0.25">
      <c r="A10433" s="5">
        <f>10425</f>
      </c>
      <c r="B10433" s="5" t="s">
        <v>9681</v>
      </c>
      <c r="C10433" s="5" t="s">
        <v>11</v>
      </c>
      <c r="D10433" s="5" t="s">
        <v>12</v>
      </c>
      <c r="E10433" s="5" t="s">
        <v>2296</v>
      </c>
    </row>
    <row r="10434" spans="1:5" x14ac:dyDescent="0.25">
      <c r="A10434" s="5">
        <f>10426</f>
      </c>
      <c r="B10434" s="5" t="s">
        <v>9682</v>
      </c>
      <c r="C10434" s="5" t="s">
        <v>11</v>
      </c>
      <c r="D10434" s="5" t="s">
        <v>12</v>
      </c>
      <c r="E10434" s="5" t="s">
        <v>2296</v>
      </c>
    </row>
    <row r="10435" spans="1:5" x14ac:dyDescent="0.25">
      <c r="A10435" s="5">
        <f>10427</f>
      </c>
      <c r="B10435" s="5" t="s">
        <v>9683</v>
      </c>
      <c r="C10435" s="5" t="s">
        <v>11</v>
      </c>
      <c r="D10435" s="5" t="s">
        <v>12</v>
      </c>
      <c r="E10435" s="5" t="s">
        <v>2296</v>
      </c>
    </row>
    <row r="10436" spans="1:5" x14ac:dyDescent="0.25">
      <c r="A10436" s="5">
        <f>10428</f>
      </c>
      <c r="B10436" s="5" t="s">
        <v>9684</v>
      </c>
      <c r="C10436" s="5" t="s">
        <v>11</v>
      </c>
      <c r="D10436" s="5" t="s">
        <v>12</v>
      </c>
      <c r="E10436" s="5" t="s">
        <v>2409</v>
      </c>
    </row>
    <row r="10437" spans="1:5" x14ac:dyDescent="0.25">
      <c r="A10437" s="5">
        <f>10429</f>
      </c>
      <c r="B10437" s="5" t="s">
        <v>9685</v>
      </c>
      <c r="C10437" s="5" t="s">
        <v>11</v>
      </c>
      <c r="D10437" s="5" t="s">
        <v>12</v>
      </c>
      <c r="E10437" s="5" t="s">
        <v>2409</v>
      </c>
    </row>
    <row r="10438" spans="1:5" x14ac:dyDescent="0.25">
      <c r="A10438" s="5">
        <f>10430</f>
      </c>
      <c r="B10438" s="5" t="s">
        <v>9686</v>
      </c>
      <c r="C10438" s="5" t="s">
        <v>11</v>
      </c>
      <c r="D10438" s="5" t="s">
        <v>12</v>
      </c>
      <c r="E10438" s="5" t="s">
        <v>2409</v>
      </c>
    </row>
    <row r="10439" spans="1:5" x14ac:dyDescent="0.25">
      <c r="A10439" s="5">
        <f>10431</f>
      </c>
      <c r="B10439" s="5" t="s">
        <v>9687</v>
      </c>
      <c r="C10439" s="5" t="s">
        <v>11</v>
      </c>
      <c r="D10439" s="5" t="s">
        <v>12</v>
      </c>
      <c r="E10439" s="5" t="s">
        <v>2409</v>
      </c>
    </row>
    <row r="10440" spans="1:5" x14ac:dyDescent="0.25">
      <c r="A10440" s="5">
        <f>10432</f>
      </c>
      <c r="B10440" s="5" t="s">
        <v>9688</v>
      </c>
      <c r="C10440" s="5" t="s">
        <v>11</v>
      </c>
      <c r="D10440" s="5" t="s">
        <v>12</v>
      </c>
      <c r="E10440" s="5" t="s">
        <v>2409</v>
      </c>
    </row>
    <row r="10441" spans="1:5" x14ac:dyDescent="0.25">
      <c r="A10441" s="5">
        <f>10433</f>
      </c>
      <c r="B10441" s="5" t="s">
        <v>9689</v>
      </c>
      <c r="C10441" s="5" t="s">
        <v>11</v>
      </c>
      <c r="D10441" s="5" t="s">
        <v>12</v>
      </c>
      <c r="E10441" s="5" t="s">
        <v>2409</v>
      </c>
    </row>
    <row r="10442" spans="1:5" x14ac:dyDescent="0.25">
      <c r="A10442" s="5">
        <f>10434</f>
      </c>
      <c r="B10442" s="5" t="s">
        <v>9690</v>
      </c>
      <c r="C10442" s="5" t="s">
        <v>11</v>
      </c>
      <c r="D10442" s="5" t="s">
        <v>12</v>
      </c>
      <c r="E10442" s="5" t="s">
        <v>2409</v>
      </c>
    </row>
    <row r="10443" spans="1:5" x14ac:dyDescent="0.25">
      <c r="A10443" s="5">
        <f>10435</f>
      </c>
      <c r="B10443" s="5" t="s">
        <v>9691</v>
      </c>
      <c r="C10443" s="5" t="s">
        <v>11</v>
      </c>
      <c r="D10443" s="5" t="s">
        <v>12</v>
      </c>
      <c r="E10443" s="5" t="s">
        <v>2409</v>
      </c>
    </row>
    <row r="10444" spans="1:5" x14ac:dyDescent="0.25">
      <c r="A10444" s="5">
        <f>10436</f>
      </c>
      <c r="B10444" s="5" t="s">
        <v>9692</v>
      </c>
      <c r="C10444" s="5" t="s">
        <v>11</v>
      </c>
      <c r="D10444" s="5" t="s">
        <v>12</v>
      </c>
      <c r="E10444" s="5" t="s">
        <v>2409</v>
      </c>
    </row>
    <row r="10445" spans="1:5" x14ac:dyDescent="0.25">
      <c r="A10445" s="5">
        <f>10437</f>
      </c>
      <c r="B10445" s="5" t="s">
        <v>9693</v>
      </c>
      <c r="C10445" s="5" t="s">
        <v>11</v>
      </c>
      <c r="D10445" s="5" t="s">
        <v>12</v>
      </c>
      <c r="E10445" s="5" t="s">
        <v>2409</v>
      </c>
    </row>
    <row r="10446" spans="1:5" x14ac:dyDescent="0.25">
      <c r="A10446" s="5">
        <f>10438</f>
      </c>
      <c r="B10446" s="5" t="s">
        <v>9694</v>
      </c>
      <c r="C10446" s="5" t="s">
        <v>11</v>
      </c>
      <c r="D10446" s="5" t="s">
        <v>12</v>
      </c>
      <c r="E10446" s="5" t="s">
        <v>2409</v>
      </c>
    </row>
    <row r="10447" spans="1:5" x14ac:dyDescent="0.25">
      <c r="A10447" s="5">
        <f>10439</f>
      </c>
      <c r="B10447" s="5" t="s">
        <v>9695</v>
      </c>
      <c r="C10447" s="5" t="s">
        <v>11</v>
      </c>
      <c r="D10447" s="5" t="s">
        <v>12</v>
      </c>
      <c r="E10447" s="5" t="s">
        <v>2409</v>
      </c>
    </row>
    <row r="10448" spans="1:5" x14ac:dyDescent="0.25">
      <c r="A10448" s="5">
        <f>10440</f>
      </c>
      <c r="B10448" s="5" t="s">
        <v>9696</v>
      </c>
      <c r="C10448" s="5" t="s">
        <v>11</v>
      </c>
      <c r="D10448" s="5" t="s">
        <v>12</v>
      </c>
      <c r="E10448" s="5" t="s">
        <v>2409</v>
      </c>
    </row>
    <row r="10449" spans="1:5" x14ac:dyDescent="0.25">
      <c r="A10449" s="5">
        <f>10441</f>
      </c>
      <c r="B10449" s="5" t="s">
        <v>9697</v>
      </c>
      <c r="C10449" s="5" t="s">
        <v>11</v>
      </c>
      <c r="D10449" s="5" t="s">
        <v>12</v>
      </c>
      <c r="E10449" s="5" t="s">
        <v>2409</v>
      </c>
    </row>
    <row r="10450" spans="1:5" x14ac:dyDescent="0.25">
      <c r="A10450" s="5">
        <f>10442</f>
      </c>
      <c r="B10450" s="5" t="s">
        <v>9698</v>
      </c>
      <c r="C10450" s="5" t="s">
        <v>11</v>
      </c>
      <c r="D10450" s="5" t="s">
        <v>12</v>
      </c>
      <c r="E10450" s="5" t="s">
        <v>2409</v>
      </c>
    </row>
    <row r="10451" spans="1:5" x14ac:dyDescent="0.25">
      <c r="A10451" s="5">
        <f>10443</f>
      </c>
      <c r="B10451" s="5" t="s">
        <v>9699</v>
      </c>
      <c r="C10451" s="5" t="s">
        <v>11</v>
      </c>
      <c r="D10451" s="5" t="s">
        <v>12</v>
      </c>
      <c r="E10451" s="5" t="s">
        <v>2409</v>
      </c>
    </row>
    <row r="10452" spans="1:5" x14ac:dyDescent="0.25">
      <c r="A10452" s="5">
        <f>10444</f>
      </c>
      <c r="B10452" s="5" t="s">
        <v>9700</v>
      </c>
      <c r="C10452" s="5" t="s">
        <v>11</v>
      </c>
      <c r="D10452" s="5" t="s">
        <v>12</v>
      </c>
      <c r="E10452" s="5" t="s">
        <v>2409</v>
      </c>
    </row>
    <row r="10453" spans="1:5" x14ac:dyDescent="0.25">
      <c r="A10453" s="5">
        <f>10445</f>
      </c>
      <c r="B10453" s="5" t="s">
        <v>9701</v>
      </c>
      <c r="C10453" s="5" t="s">
        <v>11</v>
      </c>
      <c r="D10453" s="5" t="s">
        <v>12</v>
      </c>
      <c r="E10453" s="5" t="s">
        <v>2409</v>
      </c>
    </row>
    <row r="10454" spans="1:5" x14ac:dyDescent="0.25">
      <c r="A10454" s="5">
        <f>10446</f>
      </c>
      <c r="B10454" s="5" t="s">
        <v>9702</v>
      </c>
      <c r="C10454" s="5" t="s">
        <v>11</v>
      </c>
      <c r="D10454" s="5" t="s">
        <v>12</v>
      </c>
      <c r="E10454" s="5" t="s">
        <v>2409</v>
      </c>
    </row>
    <row r="10455" spans="1:5" x14ac:dyDescent="0.25">
      <c r="A10455" s="5">
        <f>10447</f>
      </c>
      <c r="B10455" s="5" t="s">
        <v>9703</v>
      </c>
      <c r="C10455" s="5" t="s">
        <v>11</v>
      </c>
      <c r="D10455" s="5" t="s">
        <v>12</v>
      </c>
      <c r="E10455" s="5" t="s">
        <v>2409</v>
      </c>
    </row>
    <row r="10456" spans="1:5" x14ac:dyDescent="0.25">
      <c r="A10456" s="5">
        <f>10448</f>
      </c>
      <c r="B10456" s="5" t="s">
        <v>9704</v>
      </c>
      <c r="C10456" s="5" t="s">
        <v>11</v>
      </c>
      <c r="D10456" s="5" t="s">
        <v>12</v>
      </c>
      <c r="E10456" s="5" t="s">
        <v>2409</v>
      </c>
    </row>
    <row r="10457" spans="1:5" x14ac:dyDescent="0.25">
      <c r="A10457" s="5">
        <f>10449</f>
      </c>
      <c r="B10457" s="5" t="s">
        <v>9705</v>
      </c>
      <c r="C10457" s="5" t="s">
        <v>11</v>
      </c>
      <c r="D10457" s="5" t="s">
        <v>12</v>
      </c>
      <c r="E10457" s="5" t="s">
        <v>2409</v>
      </c>
    </row>
    <row r="10458" spans="1:5" x14ac:dyDescent="0.25">
      <c r="A10458" s="5">
        <f>10450</f>
      </c>
      <c r="B10458" s="5" t="s">
        <v>9706</v>
      </c>
      <c r="C10458" s="5" t="s">
        <v>11</v>
      </c>
      <c r="D10458" s="5" t="s">
        <v>12</v>
      </c>
      <c r="E10458" s="5" t="s">
        <v>2409</v>
      </c>
    </row>
    <row r="10459" spans="1:5" x14ac:dyDescent="0.25">
      <c r="A10459" s="5">
        <f>10451</f>
      </c>
      <c r="B10459" s="5" t="s">
        <v>9707</v>
      </c>
      <c r="C10459" s="5" t="s">
        <v>11</v>
      </c>
      <c r="D10459" s="5" t="s">
        <v>12</v>
      </c>
      <c r="E10459" s="5" t="s">
        <v>2409</v>
      </c>
    </row>
    <row r="10460" spans="1:5" x14ac:dyDescent="0.25">
      <c r="A10460" s="5">
        <f>10452</f>
      </c>
      <c r="B10460" s="5" t="s">
        <v>9708</v>
      </c>
      <c r="C10460" s="5" t="s">
        <v>11</v>
      </c>
      <c r="D10460" s="5" t="s">
        <v>12</v>
      </c>
      <c r="E10460" s="5" t="s">
        <v>2409</v>
      </c>
    </row>
    <row r="10461" spans="1:5" x14ac:dyDescent="0.25">
      <c r="A10461" s="5">
        <f>10453</f>
      </c>
      <c r="B10461" s="5" t="s">
        <v>9709</v>
      </c>
      <c r="C10461" s="5" t="s">
        <v>11</v>
      </c>
      <c r="D10461" s="5" t="s">
        <v>12</v>
      </c>
      <c r="E10461" s="5" t="s">
        <v>2409</v>
      </c>
    </row>
    <row r="10462" spans="1:5" x14ac:dyDescent="0.25">
      <c r="A10462" s="5">
        <f>10454</f>
      </c>
      <c r="B10462" s="5" t="s">
        <v>9710</v>
      </c>
      <c r="C10462" s="5" t="s">
        <v>11</v>
      </c>
      <c r="D10462" s="5" t="s">
        <v>12</v>
      </c>
      <c r="E10462" s="5" t="s">
        <v>2409</v>
      </c>
    </row>
    <row r="10463" spans="1:5" x14ac:dyDescent="0.25">
      <c r="A10463" s="5">
        <f>10455</f>
      </c>
      <c r="B10463" s="5" t="s">
        <v>9711</v>
      </c>
      <c r="C10463" s="5" t="s">
        <v>11</v>
      </c>
      <c r="D10463" s="5" t="s">
        <v>12</v>
      </c>
      <c r="E10463" s="5" t="s">
        <v>2409</v>
      </c>
    </row>
    <row r="10464" spans="1:5" x14ac:dyDescent="0.25">
      <c r="A10464" s="5">
        <f>10456</f>
      </c>
      <c r="B10464" s="5" t="s">
        <v>9712</v>
      </c>
      <c r="C10464" s="5" t="s">
        <v>11</v>
      </c>
      <c r="D10464" s="5" t="s">
        <v>12</v>
      </c>
      <c r="E10464" s="5" t="s">
        <v>2409</v>
      </c>
    </row>
    <row r="10465" spans="1:5" x14ac:dyDescent="0.25">
      <c r="A10465" s="5">
        <f>10457</f>
      </c>
      <c r="B10465" s="5" t="s">
        <v>9713</v>
      </c>
      <c r="C10465" s="5" t="s">
        <v>11</v>
      </c>
      <c r="D10465" s="5" t="s">
        <v>12</v>
      </c>
      <c r="E10465" s="5" t="s">
        <v>2409</v>
      </c>
    </row>
    <row r="10466" spans="1:5" x14ac:dyDescent="0.25">
      <c r="A10466" s="5">
        <f>10458</f>
      </c>
      <c r="B10466" s="5" t="s">
        <v>9714</v>
      </c>
      <c r="C10466" s="5" t="s">
        <v>11</v>
      </c>
      <c r="D10466" s="5" t="s">
        <v>12</v>
      </c>
      <c r="E10466" s="5" t="s">
        <v>2409</v>
      </c>
    </row>
    <row r="10467" spans="1:5" x14ac:dyDescent="0.25">
      <c r="A10467" s="5">
        <f>10459</f>
      </c>
      <c r="B10467" s="5" t="s">
        <v>9715</v>
      </c>
      <c r="C10467" s="5" t="s">
        <v>11</v>
      </c>
      <c r="D10467" s="5" t="s">
        <v>12</v>
      </c>
      <c r="E10467" s="5" t="s">
        <v>2409</v>
      </c>
    </row>
    <row r="10468" spans="1:5" x14ac:dyDescent="0.25">
      <c r="A10468" s="5">
        <f>10460</f>
      </c>
      <c r="B10468" s="5" t="s">
        <v>9716</v>
      </c>
      <c r="C10468" s="5" t="s">
        <v>11</v>
      </c>
      <c r="D10468" s="5" t="s">
        <v>12</v>
      </c>
      <c r="E10468" s="5" t="s">
        <v>2409</v>
      </c>
    </row>
    <row r="10469" spans="1:5" x14ac:dyDescent="0.25">
      <c r="A10469" s="5">
        <f>10461</f>
      </c>
      <c r="B10469" s="5" t="s">
        <v>9717</v>
      </c>
      <c r="C10469" s="5" t="s">
        <v>11</v>
      </c>
      <c r="D10469" s="5" t="s">
        <v>12</v>
      </c>
      <c r="E10469" s="5" t="s">
        <v>2409</v>
      </c>
    </row>
    <row r="10470" spans="1:5" x14ac:dyDescent="0.25">
      <c r="A10470" s="5">
        <f>10462</f>
      </c>
      <c r="B10470" s="5" t="s">
        <v>9718</v>
      </c>
      <c r="C10470" s="5" t="s">
        <v>11</v>
      </c>
      <c r="D10470" s="5" t="s">
        <v>12</v>
      </c>
      <c r="E10470" s="5" t="s">
        <v>2409</v>
      </c>
    </row>
    <row r="10471" spans="1:5" x14ac:dyDescent="0.25">
      <c r="A10471" s="5">
        <f>10463</f>
      </c>
      <c r="B10471" s="5" t="s">
        <v>9719</v>
      </c>
      <c r="C10471" s="5" t="s">
        <v>11</v>
      </c>
      <c r="D10471" s="5" t="s">
        <v>12</v>
      </c>
      <c r="E10471" s="5" t="s">
        <v>2409</v>
      </c>
    </row>
    <row r="10472" spans="1:5" x14ac:dyDescent="0.25">
      <c r="A10472" s="5">
        <f>10464</f>
      </c>
      <c r="B10472" s="5" t="s">
        <v>9720</v>
      </c>
      <c r="C10472" s="5" t="s">
        <v>11</v>
      </c>
      <c r="D10472" s="5" t="s">
        <v>12</v>
      </c>
      <c r="E10472" s="5" t="s">
        <v>2409</v>
      </c>
    </row>
    <row r="10473" spans="1:5" x14ac:dyDescent="0.25">
      <c r="A10473" s="5">
        <f>10465</f>
      </c>
      <c r="B10473" s="5" t="s">
        <v>9721</v>
      </c>
      <c r="C10473" s="5" t="s">
        <v>11</v>
      </c>
      <c r="D10473" s="5" t="s">
        <v>12</v>
      </c>
      <c r="E10473" s="5" t="s">
        <v>2409</v>
      </c>
    </row>
    <row r="10474" spans="1:5" x14ac:dyDescent="0.25">
      <c r="A10474" s="5">
        <f>10466</f>
      </c>
      <c r="B10474" s="5" t="s">
        <v>9722</v>
      </c>
      <c r="C10474" s="5" t="s">
        <v>11</v>
      </c>
      <c r="D10474" s="5" t="s">
        <v>12</v>
      </c>
      <c r="E10474" s="5" t="s">
        <v>2409</v>
      </c>
    </row>
    <row r="10475" spans="1:5" x14ac:dyDescent="0.25">
      <c r="A10475" s="5">
        <f>10467</f>
      </c>
      <c r="B10475" s="5" t="s">
        <v>9723</v>
      </c>
      <c r="C10475" s="5" t="s">
        <v>11</v>
      </c>
      <c r="D10475" s="5" t="s">
        <v>12</v>
      </c>
      <c r="E10475" s="5" t="s">
        <v>2409</v>
      </c>
    </row>
    <row r="10476" spans="1:5" x14ac:dyDescent="0.25">
      <c r="A10476" s="5">
        <f>10468</f>
      </c>
      <c r="B10476" s="5" t="s">
        <v>9724</v>
      </c>
      <c r="C10476" s="5" t="s">
        <v>11</v>
      </c>
      <c r="D10476" s="5" t="s">
        <v>12</v>
      </c>
      <c r="E10476" s="5" t="s">
        <v>2409</v>
      </c>
    </row>
    <row r="10477" spans="1:5" x14ac:dyDescent="0.25">
      <c r="A10477" s="5">
        <f>10469</f>
      </c>
      <c r="B10477" s="5" t="s">
        <v>9725</v>
      </c>
      <c r="C10477" s="5" t="s">
        <v>11</v>
      </c>
      <c r="D10477" s="5" t="s">
        <v>12</v>
      </c>
      <c r="E10477" s="5" t="s">
        <v>2409</v>
      </c>
    </row>
    <row r="10478" spans="1:5" x14ac:dyDescent="0.25">
      <c r="A10478" s="5">
        <f>10470</f>
      </c>
      <c r="B10478" s="5" t="s">
        <v>9726</v>
      </c>
      <c r="C10478" s="5" t="s">
        <v>11</v>
      </c>
      <c r="D10478" s="5" t="s">
        <v>12</v>
      </c>
      <c r="E10478" s="5" t="s">
        <v>2409</v>
      </c>
    </row>
    <row r="10479" spans="1:5" x14ac:dyDescent="0.25">
      <c r="A10479" s="5">
        <f>10471</f>
      </c>
      <c r="B10479" s="5" t="s">
        <v>9727</v>
      </c>
      <c r="C10479" s="5" t="s">
        <v>11</v>
      </c>
      <c r="D10479" s="5" t="s">
        <v>12</v>
      </c>
      <c r="E10479" s="5" t="s">
        <v>2409</v>
      </c>
    </row>
    <row r="10480" spans="1:5" x14ac:dyDescent="0.25">
      <c r="A10480" s="5">
        <f>10472</f>
      </c>
      <c r="B10480" s="5" t="s">
        <v>9728</v>
      </c>
      <c r="C10480" s="5" t="s">
        <v>11</v>
      </c>
      <c r="D10480" s="5" t="s">
        <v>12</v>
      </c>
      <c r="E10480" s="5" t="s">
        <v>2409</v>
      </c>
    </row>
    <row r="10481" spans="1:5" x14ac:dyDescent="0.25">
      <c r="A10481" s="5">
        <f>10473</f>
      </c>
      <c r="B10481" s="5" t="s">
        <v>9729</v>
      </c>
      <c r="C10481" s="5" t="s">
        <v>11</v>
      </c>
      <c r="D10481" s="5" t="s">
        <v>12</v>
      </c>
      <c r="E10481" s="5" t="s">
        <v>2409</v>
      </c>
    </row>
    <row r="10482" spans="1:5" x14ac:dyDescent="0.25">
      <c r="A10482" s="5">
        <f>10474</f>
      </c>
      <c r="B10482" s="5" t="s">
        <v>9730</v>
      </c>
      <c r="C10482" s="5" t="s">
        <v>11</v>
      </c>
      <c r="D10482" s="5" t="s">
        <v>12</v>
      </c>
      <c r="E10482" s="5" t="s">
        <v>2409</v>
      </c>
    </row>
    <row r="10483" spans="1:5" x14ac:dyDescent="0.25">
      <c r="A10483" s="5">
        <f>10475</f>
      </c>
      <c r="B10483" s="5" t="s">
        <v>9731</v>
      </c>
      <c r="C10483" s="5" t="s">
        <v>11</v>
      </c>
      <c r="D10483" s="5" t="s">
        <v>12</v>
      </c>
      <c r="E10483" s="5" t="s">
        <v>2409</v>
      </c>
    </row>
    <row r="10484" spans="1:5" x14ac:dyDescent="0.25">
      <c r="A10484" s="5">
        <f>10476</f>
      </c>
      <c r="B10484" s="5" t="s">
        <v>9732</v>
      </c>
      <c r="C10484" s="5" t="s">
        <v>11</v>
      </c>
      <c r="D10484" s="5" t="s">
        <v>12</v>
      </c>
      <c r="E10484" s="5" t="s">
        <v>2409</v>
      </c>
    </row>
    <row r="10485" spans="1:5" x14ac:dyDescent="0.25">
      <c r="A10485" s="5">
        <f>10477</f>
      </c>
      <c r="B10485" s="5" t="s">
        <v>9733</v>
      </c>
      <c r="C10485" s="5" t="s">
        <v>11</v>
      </c>
      <c r="D10485" s="5" t="s">
        <v>12</v>
      </c>
      <c r="E10485" s="5" t="s">
        <v>2409</v>
      </c>
    </row>
    <row r="10486" spans="1:5" x14ac:dyDescent="0.25">
      <c r="A10486" s="5">
        <f>10478</f>
      </c>
      <c r="B10486" s="5" t="s">
        <v>9734</v>
      </c>
      <c r="C10486" s="5" t="s">
        <v>11</v>
      </c>
      <c r="D10486" s="5" t="s">
        <v>12</v>
      </c>
      <c r="E10486" s="5" t="s">
        <v>2409</v>
      </c>
    </row>
    <row r="10487" spans="1:5" x14ac:dyDescent="0.25">
      <c r="A10487" s="5">
        <f>10479</f>
      </c>
      <c r="B10487" s="5" t="s">
        <v>9735</v>
      </c>
      <c r="C10487" s="5" t="s">
        <v>11</v>
      </c>
      <c r="D10487" s="5" t="s">
        <v>12</v>
      </c>
      <c r="E10487" s="5" t="s">
        <v>2409</v>
      </c>
    </row>
    <row r="10488" spans="1:5" x14ac:dyDescent="0.25">
      <c r="A10488" s="5">
        <f>10480</f>
      </c>
      <c r="B10488" s="5" t="s">
        <v>9736</v>
      </c>
      <c r="C10488" s="5" t="s">
        <v>11</v>
      </c>
      <c r="D10488" s="5" t="s">
        <v>12</v>
      </c>
      <c r="E10488" s="5" t="s">
        <v>2409</v>
      </c>
    </row>
    <row r="10489" spans="1:5" x14ac:dyDescent="0.25">
      <c r="A10489" s="5">
        <f>10481</f>
      </c>
      <c r="B10489" s="5" t="s">
        <v>9737</v>
      </c>
      <c r="C10489" s="5" t="s">
        <v>11</v>
      </c>
      <c r="D10489" s="5" t="s">
        <v>12</v>
      </c>
      <c r="E10489" s="5" t="s">
        <v>2409</v>
      </c>
    </row>
    <row r="10490" spans="1:5" x14ac:dyDescent="0.25">
      <c r="A10490" s="5">
        <f>10482</f>
      </c>
      <c r="B10490" s="5" t="s">
        <v>9738</v>
      </c>
      <c r="C10490" s="5" t="s">
        <v>11</v>
      </c>
      <c r="D10490" s="5" t="s">
        <v>12</v>
      </c>
      <c r="E10490" s="5" t="s">
        <v>2409</v>
      </c>
    </row>
    <row r="10491" spans="1:5" x14ac:dyDescent="0.25">
      <c r="A10491" s="5">
        <f>10483</f>
      </c>
      <c r="B10491" s="5" t="s">
        <v>9739</v>
      </c>
      <c r="C10491" s="5" t="s">
        <v>11</v>
      </c>
      <c r="D10491" s="5" t="s">
        <v>12</v>
      </c>
      <c r="E10491" s="5" t="s">
        <v>2409</v>
      </c>
    </row>
    <row r="10492" spans="1:5" x14ac:dyDescent="0.25">
      <c r="A10492" s="5">
        <f>10484</f>
      </c>
      <c r="B10492" s="5" t="s">
        <v>9740</v>
      </c>
      <c r="C10492" s="5" t="s">
        <v>11</v>
      </c>
      <c r="D10492" s="5" t="s">
        <v>12</v>
      </c>
      <c r="E10492" s="5" t="s">
        <v>2409</v>
      </c>
    </row>
    <row r="10493" spans="1:5" x14ac:dyDescent="0.25">
      <c r="A10493" s="5">
        <f>10485</f>
      </c>
      <c r="B10493" s="5" t="s">
        <v>9741</v>
      </c>
      <c r="C10493" s="5" t="s">
        <v>11</v>
      </c>
      <c r="D10493" s="5" t="s">
        <v>12</v>
      </c>
      <c r="E10493" s="5" t="s">
        <v>2409</v>
      </c>
    </row>
    <row r="10494" spans="1:5" x14ac:dyDescent="0.25">
      <c r="A10494" s="5">
        <f>10486</f>
      </c>
      <c r="B10494" s="5" t="s">
        <v>9742</v>
      </c>
      <c r="C10494" s="5" t="s">
        <v>11</v>
      </c>
      <c r="D10494" s="5" t="s">
        <v>12</v>
      </c>
      <c r="E10494" s="5" t="s">
        <v>2409</v>
      </c>
    </row>
    <row r="10495" spans="1:5" x14ac:dyDescent="0.25">
      <c r="A10495" s="5">
        <f>10487</f>
      </c>
      <c r="B10495" s="5" t="s">
        <v>9743</v>
      </c>
      <c r="C10495" s="5" t="s">
        <v>11</v>
      </c>
      <c r="D10495" s="5" t="s">
        <v>12</v>
      </c>
      <c r="E10495" s="5" t="s">
        <v>2409</v>
      </c>
    </row>
    <row r="10496" spans="1:5" x14ac:dyDescent="0.25">
      <c r="A10496" s="5">
        <f>10488</f>
      </c>
      <c r="B10496" s="5" t="s">
        <v>9744</v>
      </c>
      <c r="C10496" s="5" t="s">
        <v>11</v>
      </c>
      <c r="D10496" s="5" t="s">
        <v>12</v>
      </c>
      <c r="E10496" s="5" t="s">
        <v>2409</v>
      </c>
    </row>
    <row r="10497" spans="1:5" x14ac:dyDescent="0.25">
      <c r="A10497" s="5">
        <f>10489</f>
      </c>
      <c r="B10497" s="5" t="s">
        <v>9745</v>
      </c>
      <c r="C10497" s="5" t="s">
        <v>11</v>
      </c>
      <c r="D10497" s="5" t="s">
        <v>12</v>
      </c>
      <c r="E10497" s="5" t="s">
        <v>2409</v>
      </c>
    </row>
    <row r="10498" spans="1:5" x14ac:dyDescent="0.25">
      <c r="A10498" s="5">
        <f>10490</f>
      </c>
      <c r="B10498" s="5" t="s">
        <v>9746</v>
      </c>
      <c r="C10498" s="5" t="s">
        <v>11</v>
      </c>
      <c r="D10498" s="5" t="s">
        <v>12</v>
      </c>
      <c r="E10498" s="5" t="s">
        <v>2409</v>
      </c>
    </row>
    <row r="10499" spans="1:5" x14ac:dyDescent="0.25">
      <c r="A10499" s="5">
        <f>10491</f>
      </c>
      <c r="B10499" s="5" t="s">
        <v>9747</v>
      </c>
      <c r="C10499" s="5" t="s">
        <v>11</v>
      </c>
      <c r="D10499" s="5" t="s">
        <v>12</v>
      </c>
      <c r="E10499" s="5" t="s">
        <v>2409</v>
      </c>
    </row>
    <row r="10500" spans="1:5" x14ac:dyDescent="0.25">
      <c r="A10500" s="5">
        <f>10492</f>
      </c>
      <c r="B10500" s="5" t="s">
        <v>9748</v>
      </c>
      <c r="C10500" s="5" t="s">
        <v>11</v>
      </c>
      <c r="D10500" s="5" t="s">
        <v>12</v>
      </c>
      <c r="E10500" s="5" t="s">
        <v>2409</v>
      </c>
    </row>
    <row r="10501" spans="1:5" x14ac:dyDescent="0.25">
      <c r="A10501" s="5">
        <f>10493</f>
      </c>
      <c r="B10501" s="5" t="s">
        <v>9749</v>
      </c>
      <c r="C10501" s="5" t="s">
        <v>11</v>
      </c>
      <c r="D10501" s="5" t="s">
        <v>12</v>
      </c>
      <c r="E10501" s="5" t="s">
        <v>2409</v>
      </c>
    </row>
    <row r="10502" spans="1:5" x14ac:dyDescent="0.25">
      <c r="A10502" s="5">
        <f>10494</f>
      </c>
      <c r="B10502" s="5" t="s">
        <v>9750</v>
      </c>
      <c r="C10502" s="5" t="s">
        <v>11</v>
      </c>
      <c r="D10502" s="5" t="s">
        <v>12</v>
      </c>
      <c r="E10502" s="5" t="s">
        <v>2409</v>
      </c>
    </row>
    <row r="10503" spans="1:5" x14ac:dyDescent="0.25">
      <c r="A10503" s="5">
        <f>10495</f>
      </c>
      <c r="B10503" s="5" t="s">
        <v>9751</v>
      </c>
      <c r="C10503" s="5" t="s">
        <v>11</v>
      </c>
      <c r="D10503" s="5" t="s">
        <v>12</v>
      </c>
      <c r="E10503" s="5" t="s">
        <v>2409</v>
      </c>
    </row>
    <row r="10504" spans="1:5" x14ac:dyDescent="0.25">
      <c r="A10504" s="5">
        <f>10496</f>
      </c>
      <c r="B10504" s="5" t="s">
        <v>9752</v>
      </c>
      <c r="C10504" s="5" t="s">
        <v>11</v>
      </c>
      <c r="D10504" s="5" t="s">
        <v>12</v>
      </c>
      <c r="E10504" s="5" t="s">
        <v>2409</v>
      </c>
    </row>
    <row r="10505" spans="1:5" x14ac:dyDescent="0.25">
      <c r="A10505" s="5">
        <f>10497</f>
      </c>
      <c r="B10505" s="5" t="s">
        <v>9753</v>
      </c>
      <c r="C10505" s="5" t="s">
        <v>11</v>
      </c>
      <c r="D10505" s="5" t="s">
        <v>12</v>
      </c>
      <c r="E10505" s="5" t="s">
        <v>2409</v>
      </c>
    </row>
    <row r="10506" spans="1:5" x14ac:dyDescent="0.25">
      <c r="A10506" s="5">
        <f>10498</f>
      </c>
      <c r="B10506" s="5" t="s">
        <v>9754</v>
      </c>
      <c r="C10506" s="5" t="s">
        <v>11</v>
      </c>
      <c r="D10506" s="5" t="s">
        <v>12</v>
      </c>
      <c r="E10506" s="5" t="s">
        <v>2409</v>
      </c>
    </row>
    <row r="10507" spans="1:5" x14ac:dyDescent="0.25">
      <c r="A10507" s="5">
        <f>10499</f>
      </c>
      <c r="B10507" s="5" t="s">
        <v>9755</v>
      </c>
      <c r="C10507" s="5" t="s">
        <v>11</v>
      </c>
      <c r="D10507" s="5" t="s">
        <v>12</v>
      </c>
      <c r="E10507" s="5" t="s">
        <v>2409</v>
      </c>
    </row>
    <row r="10508" spans="1:5" x14ac:dyDescent="0.25">
      <c r="A10508" s="5">
        <f>10500</f>
      </c>
      <c r="B10508" s="5" t="s">
        <v>9756</v>
      </c>
      <c r="C10508" s="5" t="s">
        <v>11</v>
      </c>
      <c r="D10508" s="5" t="s">
        <v>12</v>
      </c>
      <c r="E10508" s="5" t="s">
        <v>2409</v>
      </c>
    </row>
    <row r="10509" spans="1:5" x14ac:dyDescent="0.25">
      <c r="A10509" s="5">
        <f>10501</f>
      </c>
      <c r="B10509" s="5" t="s">
        <v>9757</v>
      </c>
      <c r="C10509" s="5" t="s">
        <v>11</v>
      </c>
      <c r="D10509" s="5" t="s">
        <v>12</v>
      </c>
      <c r="E10509" s="5" t="s">
        <v>2409</v>
      </c>
    </row>
    <row r="10510" spans="1:5" x14ac:dyDescent="0.25">
      <c r="A10510" s="5">
        <f>10502</f>
      </c>
      <c r="B10510" s="5" t="s">
        <v>9758</v>
      </c>
      <c r="C10510" s="5" t="s">
        <v>11</v>
      </c>
      <c r="D10510" s="5" t="s">
        <v>12</v>
      </c>
      <c r="E10510" s="5" t="s">
        <v>2409</v>
      </c>
    </row>
    <row r="10511" spans="1:5" x14ac:dyDescent="0.25">
      <c r="A10511" s="5">
        <f>10503</f>
      </c>
      <c r="B10511" s="5" t="s">
        <v>9759</v>
      </c>
      <c r="C10511" s="5" t="s">
        <v>11</v>
      </c>
      <c r="D10511" s="5" t="s">
        <v>12</v>
      </c>
      <c r="E10511" s="5" t="s">
        <v>3496</v>
      </c>
    </row>
    <row r="10512" spans="1:5" x14ac:dyDescent="0.25">
      <c r="A10512" s="5">
        <f>10504</f>
      </c>
      <c r="B10512" s="5" t="s">
        <v>9760</v>
      </c>
      <c r="C10512" s="5" t="s">
        <v>11</v>
      </c>
      <c r="D10512" s="5" t="s">
        <v>12</v>
      </c>
      <c r="E10512" s="5" t="s">
        <v>3496</v>
      </c>
    </row>
    <row r="10513" spans="1:5" x14ac:dyDescent="0.25">
      <c r="A10513" s="5">
        <f>10505</f>
      </c>
      <c r="B10513" s="5" t="s">
        <v>9761</v>
      </c>
      <c r="C10513" s="5" t="s">
        <v>11</v>
      </c>
      <c r="D10513" s="5" t="s">
        <v>12</v>
      </c>
      <c r="E10513" s="5" t="s">
        <v>3496</v>
      </c>
    </row>
    <row r="10514" spans="1:5" x14ac:dyDescent="0.25">
      <c r="A10514" s="5">
        <f>10506</f>
      </c>
      <c r="B10514" s="5" t="s">
        <v>9762</v>
      </c>
      <c r="C10514" s="5" t="s">
        <v>11</v>
      </c>
      <c r="D10514" s="5" t="s">
        <v>12</v>
      </c>
      <c r="E10514" s="5" t="s">
        <v>3496</v>
      </c>
    </row>
    <row r="10515" spans="1:5" x14ac:dyDescent="0.25">
      <c r="A10515" s="5">
        <f>10507</f>
      </c>
      <c r="B10515" s="5" t="s">
        <v>9763</v>
      </c>
      <c r="C10515" s="5" t="s">
        <v>11</v>
      </c>
      <c r="D10515" s="5" t="s">
        <v>12</v>
      </c>
      <c r="E10515" s="5" t="s">
        <v>3496</v>
      </c>
    </row>
    <row r="10516" spans="1:5" x14ac:dyDescent="0.25">
      <c r="A10516" s="5">
        <f>10508</f>
      </c>
      <c r="B10516" s="5" t="s">
        <v>9764</v>
      </c>
      <c r="C10516" s="5" t="s">
        <v>11</v>
      </c>
      <c r="D10516" s="5" t="s">
        <v>12</v>
      </c>
      <c r="E10516" s="5" t="s">
        <v>3496</v>
      </c>
    </row>
    <row r="10517" spans="1:5" x14ac:dyDescent="0.25">
      <c r="A10517" s="5">
        <f>10509</f>
      </c>
      <c r="B10517" s="5" t="s">
        <v>9765</v>
      </c>
      <c r="C10517" s="5" t="s">
        <v>11</v>
      </c>
      <c r="D10517" s="5" t="s">
        <v>12</v>
      </c>
      <c r="E10517" s="5" t="s">
        <v>3496</v>
      </c>
    </row>
    <row r="10518" spans="1:5" x14ac:dyDescent="0.25">
      <c r="A10518" s="5">
        <f>10510</f>
      </c>
      <c r="B10518" s="5" t="s">
        <v>9766</v>
      </c>
      <c r="C10518" s="5" t="s">
        <v>11</v>
      </c>
      <c r="D10518" s="5" t="s">
        <v>12</v>
      </c>
      <c r="E10518" s="5" t="s">
        <v>3496</v>
      </c>
    </row>
    <row r="10519" spans="1:5" x14ac:dyDescent="0.25">
      <c r="A10519" s="5">
        <f>10511</f>
      </c>
      <c r="B10519" s="5" t="s">
        <v>9767</v>
      </c>
      <c r="C10519" s="5" t="s">
        <v>11</v>
      </c>
      <c r="D10519" s="5" t="s">
        <v>12</v>
      </c>
      <c r="E10519" s="5" t="s">
        <v>3496</v>
      </c>
    </row>
    <row r="10520" spans="1:5" x14ac:dyDescent="0.25">
      <c r="A10520" s="5">
        <f>10512</f>
      </c>
      <c r="B10520" s="5" t="s">
        <v>9768</v>
      </c>
      <c r="C10520" s="5" t="s">
        <v>11</v>
      </c>
      <c r="D10520" s="5" t="s">
        <v>12</v>
      </c>
      <c r="E10520" s="5" t="s">
        <v>3496</v>
      </c>
    </row>
    <row r="10521" spans="1:5" x14ac:dyDescent="0.25">
      <c r="A10521" s="5">
        <f>10513</f>
      </c>
      <c r="B10521" s="5" t="s">
        <v>9769</v>
      </c>
      <c r="C10521" s="5" t="s">
        <v>11</v>
      </c>
      <c r="D10521" s="5" t="s">
        <v>12</v>
      </c>
      <c r="E10521" s="5" t="s">
        <v>3496</v>
      </c>
    </row>
    <row r="10522" spans="1:5" x14ac:dyDescent="0.25">
      <c r="A10522" s="5">
        <f>10514</f>
      </c>
      <c r="B10522" s="5" t="s">
        <v>9770</v>
      </c>
      <c r="C10522" s="5" t="s">
        <v>11</v>
      </c>
      <c r="D10522" s="5" t="s">
        <v>12</v>
      </c>
      <c r="E10522" s="5" t="s">
        <v>3496</v>
      </c>
    </row>
    <row r="10523" spans="1:5" x14ac:dyDescent="0.25">
      <c r="A10523" s="5">
        <f>10515</f>
      </c>
      <c r="B10523" s="5" t="s">
        <v>9771</v>
      </c>
      <c r="C10523" s="5" t="s">
        <v>11</v>
      </c>
      <c r="D10523" s="5" t="s">
        <v>12</v>
      </c>
      <c r="E10523" s="5" t="s">
        <v>3496</v>
      </c>
    </row>
    <row r="10524" spans="1:5" x14ac:dyDescent="0.25">
      <c r="A10524" s="5">
        <f>10516</f>
      </c>
      <c r="B10524" s="5" t="s">
        <v>9772</v>
      </c>
      <c r="C10524" s="5" t="s">
        <v>11</v>
      </c>
      <c r="D10524" s="5" t="s">
        <v>12</v>
      </c>
      <c r="E10524" s="5" t="s">
        <v>3496</v>
      </c>
    </row>
    <row r="10525" spans="1:5" x14ac:dyDescent="0.25">
      <c r="A10525" s="5">
        <f>10517</f>
      </c>
      <c r="B10525" s="5" t="s">
        <v>9773</v>
      </c>
      <c r="C10525" s="5" t="s">
        <v>11</v>
      </c>
      <c r="D10525" s="5" t="s">
        <v>12</v>
      </c>
      <c r="E10525" s="5" t="s">
        <v>3496</v>
      </c>
    </row>
    <row r="10526" spans="1:5" x14ac:dyDescent="0.25">
      <c r="A10526" s="5">
        <f>10518</f>
      </c>
      <c r="B10526" s="5" t="s">
        <v>9774</v>
      </c>
      <c r="C10526" s="5" t="s">
        <v>11</v>
      </c>
      <c r="D10526" s="5" t="s">
        <v>12</v>
      </c>
      <c r="E10526" s="5" t="s">
        <v>3496</v>
      </c>
    </row>
    <row r="10527" spans="1:5" x14ac:dyDescent="0.25">
      <c r="A10527" s="5">
        <f>10519</f>
      </c>
      <c r="B10527" s="5" t="s">
        <v>9775</v>
      </c>
      <c r="C10527" s="5" t="s">
        <v>11</v>
      </c>
      <c r="D10527" s="5" t="s">
        <v>12</v>
      </c>
      <c r="E10527" s="5" t="s">
        <v>3496</v>
      </c>
    </row>
    <row r="10528" spans="1:5" x14ac:dyDescent="0.25">
      <c r="A10528" s="5">
        <f>10520</f>
      </c>
      <c r="B10528" s="5" t="s">
        <v>9776</v>
      </c>
      <c r="C10528" s="5" t="s">
        <v>11</v>
      </c>
      <c r="D10528" s="5" t="s">
        <v>12</v>
      </c>
      <c r="E10528" s="5" t="s">
        <v>3496</v>
      </c>
    </row>
    <row r="10529" spans="1:5" x14ac:dyDescent="0.25">
      <c r="A10529" s="5">
        <f>10521</f>
      </c>
      <c r="B10529" s="5" t="s">
        <v>9777</v>
      </c>
      <c r="C10529" s="5" t="s">
        <v>11</v>
      </c>
      <c r="D10529" s="5" t="s">
        <v>12</v>
      </c>
      <c r="E10529" s="5" t="s">
        <v>3496</v>
      </c>
    </row>
    <row r="10530" spans="1:5" x14ac:dyDescent="0.25">
      <c r="A10530" s="5">
        <f>10522</f>
      </c>
      <c r="B10530" s="5" t="s">
        <v>9778</v>
      </c>
      <c r="C10530" s="5" t="s">
        <v>11</v>
      </c>
      <c r="D10530" s="5" t="s">
        <v>12</v>
      </c>
      <c r="E10530" s="5" t="s">
        <v>3496</v>
      </c>
    </row>
    <row r="10531" spans="1:5" x14ac:dyDescent="0.25">
      <c r="A10531" s="5">
        <f>10523</f>
      </c>
      <c r="B10531" s="5" t="s">
        <v>9779</v>
      </c>
      <c r="C10531" s="5" t="s">
        <v>11</v>
      </c>
      <c r="D10531" s="5" t="s">
        <v>12</v>
      </c>
      <c r="E10531" s="5" t="s">
        <v>3496</v>
      </c>
    </row>
    <row r="10532" spans="1:5" x14ac:dyDescent="0.25">
      <c r="A10532" s="5">
        <f>10524</f>
      </c>
      <c r="B10532" s="5" t="s">
        <v>9780</v>
      </c>
      <c r="C10532" s="5" t="s">
        <v>11</v>
      </c>
      <c r="D10532" s="5" t="s">
        <v>12</v>
      </c>
      <c r="E10532" s="5" t="s">
        <v>3496</v>
      </c>
    </row>
    <row r="10533" spans="1:5" x14ac:dyDescent="0.25">
      <c r="A10533" s="5">
        <f>10525</f>
      </c>
      <c r="B10533" s="5" t="s">
        <v>9781</v>
      </c>
      <c r="C10533" s="5" t="s">
        <v>11</v>
      </c>
      <c r="D10533" s="5" t="s">
        <v>12</v>
      </c>
      <c r="E10533" s="5" t="s">
        <v>3496</v>
      </c>
    </row>
    <row r="10534" spans="1:5" x14ac:dyDescent="0.25">
      <c r="A10534" s="5">
        <f>10526</f>
      </c>
      <c r="B10534" s="5" t="s">
        <v>9782</v>
      </c>
      <c r="C10534" s="5" t="s">
        <v>11</v>
      </c>
      <c r="D10534" s="5" t="s">
        <v>12</v>
      </c>
      <c r="E10534" s="5" t="s">
        <v>3496</v>
      </c>
    </row>
    <row r="10535" spans="1:5" x14ac:dyDescent="0.25">
      <c r="A10535" s="5">
        <f>10527</f>
      </c>
      <c r="B10535" s="5" t="s">
        <v>9783</v>
      </c>
      <c r="C10535" s="5" t="s">
        <v>11</v>
      </c>
      <c r="D10535" s="5" t="s">
        <v>12</v>
      </c>
      <c r="E10535" s="5" t="s">
        <v>3496</v>
      </c>
    </row>
    <row r="10536" spans="1:5" x14ac:dyDescent="0.25">
      <c r="A10536" s="5">
        <f>10528</f>
      </c>
      <c r="B10536" s="5" t="s">
        <v>9784</v>
      </c>
      <c r="C10536" s="5" t="s">
        <v>11</v>
      </c>
      <c r="D10536" s="5" t="s">
        <v>12</v>
      </c>
      <c r="E10536" s="5" t="s">
        <v>3496</v>
      </c>
    </row>
    <row r="10537" spans="1:5" x14ac:dyDescent="0.25">
      <c r="A10537" s="5">
        <f>10529</f>
      </c>
      <c r="B10537" s="5" t="s">
        <v>9785</v>
      </c>
      <c r="C10537" s="5" t="s">
        <v>11</v>
      </c>
      <c r="D10537" s="5" t="s">
        <v>12</v>
      </c>
      <c r="E10537" s="5" t="s">
        <v>3496</v>
      </c>
    </row>
    <row r="10538" spans="1:5" x14ac:dyDescent="0.25">
      <c r="A10538" s="5">
        <f>10530</f>
      </c>
      <c r="B10538" s="5" t="s">
        <v>9786</v>
      </c>
      <c r="C10538" s="5" t="s">
        <v>11</v>
      </c>
      <c r="D10538" s="5" t="s">
        <v>12</v>
      </c>
      <c r="E10538" s="5" t="s">
        <v>3496</v>
      </c>
    </row>
    <row r="10539" spans="1:5" x14ac:dyDescent="0.25">
      <c r="A10539" s="5">
        <f>10531</f>
      </c>
      <c r="B10539" s="5" t="s">
        <v>9787</v>
      </c>
      <c r="C10539" s="5" t="s">
        <v>11</v>
      </c>
      <c r="D10539" s="5" t="s">
        <v>12</v>
      </c>
      <c r="E10539" s="5" t="s">
        <v>3496</v>
      </c>
    </row>
    <row r="10540" spans="1:5" x14ac:dyDescent="0.25">
      <c r="A10540" s="5">
        <f>10532</f>
      </c>
      <c r="B10540" s="5" t="s">
        <v>9788</v>
      </c>
      <c r="C10540" s="5" t="s">
        <v>11</v>
      </c>
      <c r="D10540" s="5" t="s">
        <v>12</v>
      </c>
      <c r="E10540" s="5" t="s">
        <v>3496</v>
      </c>
    </row>
    <row r="10541" spans="1:5" x14ac:dyDescent="0.25">
      <c r="A10541" s="5">
        <f>10533</f>
      </c>
      <c r="B10541" s="5" t="s">
        <v>9789</v>
      </c>
      <c r="C10541" s="5" t="s">
        <v>11</v>
      </c>
      <c r="D10541" s="5" t="s">
        <v>12</v>
      </c>
      <c r="E10541" s="5" t="s">
        <v>3496</v>
      </c>
    </row>
    <row r="10542" spans="1:5" x14ac:dyDescent="0.25">
      <c r="A10542" s="5">
        <f>10534</f>
      </c>
      <c r="B10542" s="5" t="s">
        <v>9790</v>
      </c>
      <c r="C10542" s="5" t="s">
        <v>11</v>
      </c>
      <c r="D10542" s="5" t="s">
        <v>12</v>
      </c>
      <c r="E10542" s="5" t="s">
        <v>3496</v>
      </c>
    </row>
    <row r="10543" spans="1:5" x14ac:dyDescent="0.25">
      <c r="A10543" s="5">
        <f>10535</f>
      </c>
      <c r="B10543" s="5" t="s">
        <v>9791</v>
      </c>
      <c r="C10543" s="5" t="s">
        <v>11</v>
      </c>
      <c r="D10543" s="5" t="s">
        <v>12</v>
      </c>
      <c r="E10543" s="5" t="s">
        <v>3496</v>
      </c>
    </row>
    <row r="10544" spans="1:5" x14ac:dyDescent="0.25">
      <c r="A10544" s="5">
        <f>10536</f>
      </c>
      <c r="B10544" s="5" t="s">
        <v>9792</v>
      </c>
      <c r="C10544" s="5" t="s">
        <v>11</v>
      </c>
      <c r="D10544" s="5" t="s">
        <v>12</v>
      </c>
      <c r="E10544" s="5" t="s">
        <v>3496</v>
      </c>
    </row>
    <row r="10545" spans="1:5" x14ac:dyDescent="0.25">
      <c r="A10545" s="5">
        <f>10537</f>
      </c>
      <c r="B10545" s="5" t="s">
        <v>9793</v>
      </c>
      <c r="C10545" s="5" t="s">
        <v>11</v>
      </c>
      <c r="D10545" s="5" t="s">
        <v>12</v>
      </c>
      <c r="E10545" s="5" t="s">
        <v>3496</v>
      </c>
    </row>
    <row r="10546" spans="1:5" x14ac:dyDescent="0.25">
      <c r="A10546" s="5">
        <f>10538</f>
      </c>
      <c r="B10546" s="5" t="s">
        <v>9794</v>
      </c>
      <c r="C10546" s="5" t="s">
        <v>11</v>
      </c>
      <c r="D10546" s="5" t="s">
        <v>12</v>
      </c>
      <c r="E10546" s="5" t="s">
        <v>3496</v>
      </c>
    </row>
    <row r="10547" spans="1:5" x14ac:dyDescent="0.25">
      <c r="A10547" s="5">
        <f>10539</f>
      </c>
      <c r="B10547" s="5" t="s">
        <v>9795</v>
      </c>
      <c r="C10547" s="5" t="s">
        <v>11</v>
      </c>
      <c r="D10547" s="5" t="s">
        <v>12</v>
      </c>
      <c r="E10547" s="5" t="s">
        <v>3496</v>
      </c>
    </row>
    <row r="10548" spans="1:5" x14ac:dyDescent="0.25">
      <c r="A10548" s="5">
        <f>10540</f>
      </c>
      <c r="B10548" s="5" t="s">
        <v>9796</v>
      </c>
      <c r="C10548" s="5" t="s">
        <v>11</v>
      </c>
      <c r="D10548" s="5" t="s">
        <v>12</v>
      </c>
      <c r="E10548" s="5" t="s">
        <v>3496</v>
      </c>
    </row>
    <row r="10549" spans="1:5" x14ac:dyDescent="0.25">
      <c r="A10549" s="5">
        <f>10541</f>
      </c>
      <c r="B10549" s="5" t="s">
        <v>9797</v>
      </c>
      <c r="C10549" s="5" t="s">
        <v>11</v>
      </c>
      <c r="D10549" s="5" t="s">
        <v>12</v>
      </c>
      <c r="E10549" s="5" t="s">
        <v>3496</v>
      </c>
    </row>
    <row r="10550" spans="1:5" x14ac:dyDescent="0.25">
      <c r="A10550" s="5">
        <f>10542</f>
      </c>
      <c r="B10550" s="5" t="s">
        <v>9798</v>
      </c>
      <c r="C10550" s="5" t="s">
        <v>11</v>
      </c>
      <c r="D10550" s="5" t="s">
        <v>12</v>
      </c>
      <c r="E10550" s="5" t="s">
        <v>3496</v>
      </c>
    </row>
    <row r="10551" spans="1:5" x14ac:dyDescent="0.25">
      <c r="A10551" s="5">
        <f>10543</f>
      </c>
      <c r="B10551" s="5" t="s">
        <v>9799</v>
      </c>
      <c r="C10551" s="5" t="s">
        <v>11</v>
      </c>
      <c r="D10551" s="5" t="s">
        <v>12</v>
      </c>
      <c r="E10551" s="5" t="s">
        <v>3496</v>
      </c>
    </row>
    <row r="10552" spans="1:5" x14ac:dyDescent="0.25">
      <c r="A10552" s="5">
        <f>10544</f>
      </c>
      <c r="B10552" s="5" t="s">
        <v>9800</v>
      </c>
      <c r="C10552" s="5" t="s">
        <v>11</v>
      </c>
      <c r="D10552" s="5" t="s">
        <v>12</v>
      </c>
      <c r="E10552" s="5" t="s">
        <v>3496</v>
      </c>
    </row>
    <row r="10553" spans="1:5" x14ac:dyDescent="0.25">
      <c r="A10553" s="5">
        <f>10545</f>
      </c>
      <c r="B10553" s="5" t="s">
        <v>9801</v>
      </c>
      <c r="C10553" s="5" t="s">
        <v>11</v>
      </c>
      <c r="D10553" s="5" t="s">
        <v>12</v>
      </c>
      <c r="E10553" s="5" t="s">
        <v>3496</v>
      </c>
    </row>
    <row r="10554" spans="1:5" x14ac:dyDescent="0.25">
      <c r="A10554" s="5">
        <f>10546</f>
      </c>
      <c r="B10554" s="5" t="s">
        <v>9802</v>
      </c>
      <c r="C10554" s="5" t="s">
        <v>11</v>
      </c>
      <c r="D10554" s="5" t="s">
        <v>12</v>
      </c>
      <c r="E10554" s="5" t="s">
        <v>3496</v>
      </c>
    </row>
    <row r="10555" spans="1:5" x14ac:dyDescent="0.25">
      <c r="A10555" s="5">
        <f>10547</f>
      </c>
      <c r="B10555" s="5" t="s">
        <v>9803</v>
      </c>
      <c r="C10555" s="5" t="s">
        <v>11</v>
      </c>
      <c r="D10555" s="5" t="s">
        <v>12</v>
      </c>
      <c r="E10555" s="5" t="s">
        <v>3496</v>
      </c>
    </row>
    <row r="10556" spans="1:5" x14ac:dyDescent="0.25">
      <c r="A10556" s="5">
        <f>10548</f>
      </c>
      <c r="B10556" s="5" t="s">
        <v>9804</v>
      </c>
      <c r="C10556" s="5" t="s">
        <v>11</v>
      </c>
      <c r="D10556" s="5" t="s">
        <v>12</v>
      </c>
      <c r="E10556" s="5" t="s">
        <v>3496</v>
      </c>
    </row>
    <row r="10557" spans="1:5" x14ac:dyDescent="0.25">
      <c r="A10557" s="5">
        <f>10549</f>
      </c>
      <c r="B10557" s="5" t="s">
        <v>9805</v>
      </c>
      <c r="C10557" s="5" t="s">
        <v>11</v>
      </c>
      <c r="D10557" s="5" t="s">
        <v>12</v>
      </c>
      <c r="E10557" s="5" t="s">
        <v>3496</v>
      </c>
    </row>
    <row r="10558" spans="1:5" x14ac:dyDescent="0.25">
      <c r="A10558" s="5">
        <f>10550</f>
      </c>
      <c r="B10558" s="5" t="s">
        <v>9806</v>
      </c>
      <c r="C10558" s="5" t="s">
        <v>11</v>
      </c>
      <c r="D10558" s="5" t="s">
        <v>12</v>
      </c>
      <c r="E10558" s="5" t="s">
        <v>3496</v>
      </c>
    </row>
    <row r="10559" spans="1:5" x14ac:dyDescent="0.25">
      <c r="A10559" s="5">
        <f>10551</f>
      </c>
      <c r="B10559" s="5" t="s">
        <v>9807</v>
      </c>
      <c r="C10559" s="5" t="s">
        <v>11</v>
      </c>
      <c r="D10559" s="5" t="s">
        <v>12</v>
      </c>
      <c r="E10559" s="5" t="s">
        <v>3496</v>
      </c>
    </row>
    <row r="10560" spans="1:5" x14ac:dyDescent="0.25">
      <c r="A10560" s="5">
        <f>10552</f>
      </c>
      <c r="B10560" s="5" t="s">
        <v>9808</v>
      </c>
      <c r="C10560" s="5" t="s">
        <v>11</v>
      </c>
      <c r="D10560" s="5" t="s">
        <v>12</v>
      </c>
      <c r="E10560" s="5" t="s">
        <v>3496</v>
      </c>
    </row>
    <row r="10561" spans="1:5" x14ac:dyDescent="0.25">
      <c r="A10561" s="5">
        <f>10553</f>
      </c>
      <c r="B10561" s="5" t="s">
        <v>9809</v>
      </c>
      <c r="C10561" s="5" t="s">
        <v>11</v>
      </c>
      <c r="D10561" s="5" t="s">
        <v>12</v>
      </c>
      <c r="E10561" s="5" t="s">
        <v>3496</v>
      </c>
    </row>
    <row r="10562" spans="1:5" x14ac:dyDescent="0.25">
      <c r="A10562" s="5">
        <f>10554</f>
      </c>
      <c r="B10562" s="5" t="s">
        <v>9810</v>
      </c>
      <c r="C10562" s="5" t="s">
        <v>11</v>
      </c>
      <c r="D10562" s="5" t="s">
        <v>12</v>
      </c>
      <c r="E10562" s="5" t="s">
        <v>3496</v>
      </c>
    </row>
    <row r="10563" spans="1:5" x14ac:dyDescent="0.25">
      <c r="A10563" s="5">
        <f>10555</f>
      </c>
      <c r="B10563" s="5" t="s">
        <v>9811</v>
      </c>
      <c r="C10563" s="5" t="s">
        <v>11</v>
      </c>
      <c r="D10563" s="5" t="s">
        <v>12</v>
      </c>
      <c r="E10563" s="5" t="s">
        <v>3496</v>
      </c>
    </row>
    <row r="10564" spans="1:5" x14ac:dyDescent="0.25">
      <c r="A10564" s="5">
        <f>10556</f>
      </c>
      <c r="B10564" s="5" t="s">
        <v>9812</v>
      </c>
      <c r="C10564" s="5" t="s">
        <v>11</v>
      </c>
      <c r="D10564" s="5" t="s">
        <v>12</v>
      </c>
      <c r="E10564" s="5" t="s">
        <v>3496</v>
      </c>
    </row>
    <row r="10565" spans="1:5" x14ac:dyDescent="0.25">
      <c r="A10565" s="5">
        <f>10557</f>
      </c>
      <c r="B10565" s="5" t="s">
        <v>9813</v>
      </c>
      <c r="C10565" s="5" t="s">
        <v>11</v>
      </c>
      <c r="D10565" s="5" t="s">
        <v>12</v>
      </c>
      <c r="E10565" s="5" t="s">
        <v>3496</v>
      </c>
    </row>
    <row r="10566" spans="1:5" x14ac:dyDescent="0.25">
      <c r="A10566" s="5">
        <f>10558</f>
      </c>
      <c r="B10566" s="5" t="s">
        <v>9814</v>
      </c>
      <c r="C10566" s="5" t="s">
        <v>11</v>
      </c>
      <c r="D10566" s="5" t="s">
        <v>12</v>
      </c>
      <c r="E10566" s="5" t="s">
        <v>3496</v>
      </c>
    </row>
    <row r="10567" spans="1:5" x14ac:dyDescent="0.25">
      <c r="A10567" s="5">
        <f>10559</f>
      </c>
      <c r="B10567" s="5" t="s">
        <v>9815</v>
      </c>
      <c r="C10567" s="5" t="s">
        <v>11</v>
      </c>
      <c r="D10567" s="5" t="s">
        <v>12</v>
      </c>
      <c r="E10567" s="5" t="s">
        <v>3496</v>
      </c>
    </row>
    <row r="10568" spans="1:5" x14ac:dyDescent="0.25">
      <c r="A10568" s="5">
        <f>10560</f>
      </c>
      <c r="B10568" s="5" t="s">
        <v>9816</v>
      </c>
      <c r="C10568" s="5" t="s">
        <v>11</v>
      </c>
      <c r="D10568" s="5" t="s">
        <v>12</v>
      </c>
      <c r="E10568" s="5" t="s">
        <v>3496</v>
      </c>
    </row>
    <row r="10569" spans="1:5" x14ac:dyDescent="0.25">
      <c r="A10569" s="5">
        <f>10561</f>
      </c>
      <c r="B10569" s="5" t="s">
        <v>9817</v>
      </c>
      <c r="C10569" s="5" t="s">
        <v>11</v>
      </c>
      <c r="D10569" s="5" t="s">
        <v>12</v>
      </c>
      <c r="E10569" s="5" t="s">
        <v>3496</v>
      </c>
    </row>
    <row r="10570" spans="1:5" x14ac:dyDescent="0.25">
      <c r="A10570" s="5">
        <f>10562</f>
      </c>
      <c r="B10570" s="5" t="s">
        <v>9818</v>
      </c>
      <c r="C10570" s="5" t="s">
        <v>11</v>
      </c>
      <c r="D10570" s="5" t="s">
        <v>12</v>
      </c>
      <c r="E10570" s="5" t="s">
        <v>3496</v>
      </c>
    </row>
    <row r="10571" spans="1:5" x14ac:dyDescent="0.25">
      <c r="A10571" s="5">
        <f>10563</f>
      </c>
      <c r="B10571" s="5" t="s">
        <v>9819</v>
      </c>
      <c r="C10571" s="5" t="s">
        <v>11</v>
      </c>
      <c r="D10571" s="5" t="s">
        <v>12</v>
      </c>
      <c r="E10571" s="5" t="s">
        <v>3496</v>
      </c>
    </row>
    <row r="10572" spans="1:5" x14ac:dyDescent="0.25">
      <c r="A10572" s="5">
        <f>10564</f>
      </c>
      <c r="B10572" s="5" t="s">
        <v>9820</v>
      </c>
      <c r="C10572" s="5" t="s">
        <v>11</v>
      </c>
      <c r="D10572" s="5" t="s">
        <v>12</v>
      </c>
      <c r="E10572" s="5" t="s">
        <v>3496</v>
      </c>
    </row>
    <row r="10573" spans="1:5" x14ac:dyDescent="0.25">
      <c r="A10573" s="5">
        <f>10565</f>
      </c>
      <c r="B10573" s="5" t="s">
        <v>9821</v>
      </c>
      <c r="C10573" s="5" t="s">
        <v>11</v>
      </c>
      <c r="D10573" s="5" t="s">
        <v>12</v>
      </c>
      <c r="E10573" s="5" t="s">
        <v>3496</v>
      </c>
    </row>
    <row r="10574" spans="1:5" x14ac:dyDescent="0.25">
      <c r="A10574" s="5">
        <f>10566</f>
      </c>
      <c r="B10574" s="5" t="s">
        <v>9822</v>
      </c>
      <c r="C10574" s="5" t="s">
        <v>11</v>
      </c>
      <c r="D10574" s="5" t="s">
        <v>12</v>
      </c>
      <c r="E10574" s="5" t="s">
        <v>3496</v>
      </c>
    </row>
    <row r="10575" spans="1:5" x14ac:dyDescent="0.25">
      <c r="A10575" s="5">
        <f>10567</f>
      </c>
      <c r="B10575" s="5" t="s">
        <v>9823</v>
      </c>
      <c r="C10575" s="5" t="s">
        <v>11</v>
      </c>
      <c r="D10575" s="5" t="s">
        <v>12</v>
      </c>
      <c r="E10575" s="5" t="s">
        <v>3496</v>
      </c>
    </row>
    <row r="10576" spans="1:5" x14ac:dyDescent="0.25">
      <c r="A10576" s="5">
        <f>10568</f>
      </c>
      <c r="B10576" s="5" t="s">
        <v>9824</v>
      </c>
      <c r="C10576" s="5" t="s">
        <v>11</v>
      </c>
      <c r="D10576" s="5" t="s">
        <v>12</v>
      </c>
      <c r="E10576" s="5" t="s">
        <v>3496</v>
      </c>
    </row>
    <row r="10577" spans="1:5" x14ac:dyDescent="0.25">
      <c r="A10577" s="5">
        <f>10569</f>
      </c>
      <c r="B10577" s="5" t="s">
        <v>9825</v>
      </c>
      <c r="C10577" s="5" t="s">
        <v>11</v>
      </c>
      <c r="D10577" s="5" t="s">
        <v>12</v>
      </c>
      <c r="E10577" s="5" t="s">
        <v>3496</v>
      </c>
    </row>
    <row r="10578" spans="1:5" x14ac:dyDescent="0.25">
      <c r="A10578" s="5">
        <f>10570</f>
      </c>
      <c r="B10578" s="5" t="s">
        <v>9826</v>
      </c>
      <c r="C10578" s="5" t="s">
        <v>11</v>
      </c>
      <c r="D10578" s="5" t="s">
        <v>12</v>
      </c>
      <c r="E10578" s="5" t="s">
        <v>3496</v>
      </c>
    </row>
    <row r="10579" spans="1:5" x14ac:dyDescent="0.25">
      <c r="A10579" s="5">
        <f>10571</f>
      </c>
      <c r="B10579" s="5" t="s">
        <v>9827</v>
      </c>
      <c r="C10579" s="5" t="s">
        <v>11</v>
      </c>
      <c r="D10579" s="5" t="s">
        <v>12</v>
      </c>
      <c r="E10579" s="5" t="s">
        <v>3496</v>
      </c>
    </row>
    <row r="10580" spans="1:5" x14ac:dyDescent="0.25">
      <c r="A10580" s="5">
        <f>10572</f>
      </c>
      <c r="B10580" s="5" t="s">
        <v>9828</v>
      </c>
      <c r="C10580" s="5" t="s">
        <v>11</v>
      </c>
      <c r="D10580" s="5" t="s">
        <v>12</v>
      </c>
      <c r="E10580" s="5" t="s">
        <v>3496</v>
      </c>
    </row>
    <row r="10581" spans="1:5" x14ac:dyDescent="0.25">
      <c r="A10581" s="5">
        <f>10573</f>
      </c>
      <c r="B10581" s="5" t="s">
        <v>9829</v>
      </c>
      <c r="C10581" s="5" t="s">
        <v>11</v>
      </c>
      <c r="D10581" s="5" t="s">
        <v>12</v>
      </c>
      <c r="E10581" s="5" t="s">
        <v>3496</v>
      </c>
    </row>
    <row r="10582" spans="1:5" x14ac:dyDescent="0.25">
      <c r="A10582" s="5">
        <f>10574</f>
      </c>
      <c r="B10582" s="5" t="s">
        <v>9830</v>
      </c>
      <c r="C10582" s="5" t="s">
        <v>11</v>
      </c>
      <c r="D10582" s="5" t="s">
        <v>12</v>
      </c>
      <c r="E10582" s="5" t="s">
        <v>3496</v>
      </c>
    </row>
    <row r="10583" spans="1:5" x14ac:dyDescent="0.25">
      <c r="A10583" s="5">
        <f>10575</f>
      </c>
      <c r="B10583" s="5" t="s">
        <v>9831</v>
      </c>
      <c r="C10583" s="5" t="s">
        <v>11</v>
      </c>
      <c r="D10583" s="5" t="s">
        <v>12</v>
      </c>
      <c r="E10583" s="5" t="s">
        <v>3496</v>
      </c>
    </row>
    <row r="10584" spans="1:5" x14ac:dyDescent="0.25">
      <c r="A10584" s="5">
        <f>10576</f>
      </c>
      <c r="B10584" s="5" t="s">
        <v>9832</v>
      </c>
      <c r="C10584" s="5" t="s">
        <v>11</v>
      </c>
      <c r="D10584" s="5" t="s">
        <v>12</v>
      </c>
      <c r="E10584" s="5" t="s">
        <v>3496</v>
      </c>
    </row>
    <row r="10585" spans="1:5" x14ac:dyDescent="0.25">
      <c r="A10585" s="5">
        <f>10577</f>
      </c>
      <c r="B10585" s="5" t="s">
        <v>9833</v>
      </c>
      <c r="C10585" s="5" t="s">
        <v>11</v>
      </c>
      <c r="D10585" s="5" t="s">
        <v>12</v>
      </c>
      <c r="E10585" s="5" t="s">
        <v>3496</v>
      </c>
    </row>
    <row r="10586" spans="1:5" x14ac:dyDescent="0.25">
      <c r="A10586" s="5">
        <f>10578</f>
      </c>
      <c r="B10586" s="5" t="s">
        <v>9834</v>
      </c>
      <c r="C10586" s="5" t="s">
        <v>11</v>
      </c>
      <c r="D10586" s="5" t="s">
        <v>12</v>
      </c>
      <c r="E10586" s="5" t="s">
        <v>2316</v>
      </c>
    </row>
    <row r="10587" spans="1:5" x14ac:dyDescent="0.25">
      <c r="A10587" s="5">
        <f>10579</f>
      </c>
      <c r="B10587" s="5" t="s">
        <v>9835</v>
      </c>
      <c r="C10587" s="5" t="s">
        <v>11</v>
      </c>
      <c r="D10587" s="5" t="s">
        <v>12</v>
      </c>
      <c r="E10587" s="5" t="s">
        <v>2316</v>
      </c>
    </row>
    <row r="10588" spans="1:5" x14ac:dyDescent="0.25">
      <c r="A10588" s="5">
        <f>10580</f>
      </c>
      <c r="B10588" s="5" t="s">
        <v>9836</v>
      </c>
      <c r="C10588" s="5" t="s">
        <v>11</v>
      </c>
      <c r="D10588" s="5" t="s">
        <v>12</v>
      </c>
      <c r="E10588" s="5" t="s">
        <v>2316</v>
      </c>
    </row>
    <row r="10589" spans="1:5" x14ac:dyDescent="0.25">
      <c r="A10589" s="5">
        <f>10581</f>
      </c>
      <c r="B10589" s="5" t="s">
        <v>9837</v>
      </c>
      <c r="C10589" s="5" t="s">
        <v>11</v>
      </c>
      <c r="D10589" s="5" t="s">
        <v>12</v>
      </c>
      <c r="E10589" s="5" t="s">
        <v>2316</v>
      </c>
    </row>
    <row r="10590" spans="1:5" x14ac:dyDescent="0.25">
      <c r="A10590" s="5">
        <f>10582</f>
      </c>
      <c r="B10590" s="5" t="s">
        <v>9838</v>
      </c>
      <c r="C10590" s="5" t="s">
        <v>11</v>
      </c>
      <c r="D10590" s="5" t="s">
        <v>12</v>
      </c>
      <c r="E10590" s="5" t="s">
        <v>2316</v>
      </c>
    </row>
    <row r="10591" spans="1:5" x14ac:dyDescent="0.25">
      <c r="A10591" s="5">
        <f>10583</f>
      </c>
      <c r="B10591" s="5" t="s">
        <v>9839</v>
      </c>
      <c r="C10591" s="5" t="s">
        <v>11</v>
      </c>
      <c r="D10591" s="5" t="s">
        <v>12</v>
      </c>
      <c r="E10591" s="5" t="s">
        <v>2316</v>
      </c>
    </row>
    <row r="10592" spans="1:5" x14ac:dyDescent="0.25">
      <c r="A10592" s="5">
        <f>10584</f>
      </c>
      <c r="B10592" s="5" t="s">
        <v>9840</v>
      </c>
      <c r="C10592" s="5" t="s">
        <v>11</v>
      </c>
      <c r="D10592" s="5" t="s">
        <v>12</v>
      </c>
      <c r="E10592" s="5" t="s">
        <v>2316</v>
      </c>
    </row>
    <row r="10593" spans="1:5" x14ac:dyDescent="0.25">
      <c r="A10593" s="5">
        <f>10585</f>
      </c>
      <c r="B10593" s="5" t="s">
        <v>9841</v>
      </c>
      <c r="C10593" s="5" t="s">
        <v>11</v>
      </c>
      <c r="D10593" s="5" t="s">
        <v>12</v>
      </c>
      <c r="E10593" s="5" t="s">
        <v>2316</v>
      </c>
    </row>
    <row r="10594" spans="1:5" x14ac:dyDescent="0.25">
      <c r="A10594" s="5">
        <f>10586</f>
      </c>
      <c r="B10594" s="5" t="s">
        <v>9842</v>
      </c>
      <c r="C10594" s="5" t="s">
        <v>11</v>
      </c>
      <c r="D10594" s="5" t="s">
        <v>12</v>
      </c>
      <c r="E10594" s="5" t="s">
        <v>2316</v>
      </c>
    </row>
    <row r="10595" spans="1:5" x14ac:dyDescent="0.25">
      <c r="A10595" s="5">
        <f>10587</f>
      </c>
      <c r="B10595" s="5" t="s">
        <v>9843</v>
      </c>
      <c r="C10595" s="5" t="s">
        <v>11</v>
      </c>
      <c r="D10595" s="5" t="s">
        <v>12</v>
      </c>
      <c r="E10595" s="5" t="s">
        <v>2316</v>
      </c>
    </row>
    <row r="10596" spans="1:5" x14ac:dyDescent="0.25">
      <c r="A10596" s="5">
        <f>10588</f>
      </c>
      <c r="B10596" s="5" t="s">
        <v>9844</v>
      </c>
      <c r="C10596" s="5" t="s">
        <v>11</v>
      </c>
      <c r="D10596" s="5" t="s">
        <v>12</v>
      </c>
      <c r="E10596" s="5" t="s">
        <v>2316</v>
      </c>
    </row>
    <row r="10597" spans="1:5" x14ac:dyDescent="0.25">
      <c r="A10597" s="5">
        <f>10589</f>
      </c>
      <c r="B10597" s="5" t="s">
        <v>9845</v>
      </c>
      <c r="C10597" s="5" t="s">
        <v>11</v>
      </c>
      <c r="D10597" s="5" t="s">
        <v>12</v>
      </c>
      <c r="E10597" s="5" t="s">
        <v>2316</v>
      </c>
    </row>
    <row r="10598" spans="1:5" x14ac:dyDescent="0.25">
      <c r="A10598" s="5">
        <f>10590</f>
      </c>
      <c r="B10598" s="5" t="s">
        <v>9846</v>
      </c>
      <c r="C10598" s="5" t="s">
        <v>11</v>
      </c>
      <c r="D10598" s="5" t="s">
        <v>12</v>
      </c>
      <c r="E10598" s="5" t="s">
        <v>2316</v>
      </c>
    </row>
    <row r="10599" spans="1:5" x14ac:dyDescent="0.25">
      <c r="A10599" s="5">
        <f>10591</f>
      </c>
      <c r="B10599" s="5" t="s">
        <v>9847</v>
      </c>
      <c r="C10599" s="5" t="s">
        <v>11</v>
      </c>
      <c r="D10599" s="5" t="s">
        <v>12</v>
      </c>
      <c r="E10599" s="5" t="s">
        <v>2316</v>
      </c>
    </row>
    <row r="10600" spans="1:5" x14ac:dyDescent="0.25">
      <c r="A10600" s="5">
        <f>10592</f>
      </c>
      <c r="B10600" s="5" t="s">
        <v>9848</v>
      </c>
      <c r="C10600" s="5" t="s">
        <v>11</v>
      </c>
      <c r="D10600" s="5" t="s">
        <v>12</v>
      </c>
      <c r="E10600" s="5" t="s">
        <v>2316</v>
      </c>
    </row>
    <row r="10601" spans="1:5" x14ac:dyDescent="0.25">
      <c r="A10601" s="5">
        <f>10593</f>
      </c>
      <c r="B10601" s="5" t="s">
        <v>9849</v>
      </c>
      <c r="C10601" s="5" t="s">
        <v>11</v>
      </c>
      <c r="D10601" s="5" t="s">
        <v>12</v>
      </c>
      <c r="E10601" s="5" t="s">
        <v>2316</v>
      </c>
    </row>
    <row r="10602" spans="1:5" x14ac:dyDescent="0.25">
      <c r="A10602" s="5">
        <f>10594</f>
      </c>
      <c r="B10602" s="5" t="s">
        <v>9850</v>
      </c>
      <c r="C10602" s="5" t="s">
        <v>11</v>
      </c>
      <c r="D10602" s="5" t="s">
        <v>12</v>
      </c>
      <c r="E10602" s="5" t="s">
        <v>2316</v>
      </c>
    </row>
    <row r="10603" spans="1:5" x14ac:dyDescent="0.25">
      <c r="A10603" s="5">
        <f>10595</f>
      </c>
      <c r="B10603" s="5" t="s">
        <v>9851</v>
      </c>
      <c r="C10603" s="5" t="s">
        <v>11</v>
      </c>
      <c r="D10603" s="5" t="s">
        <v>12</v>
      </c>
      <c r="E10603" s="5" t="s">
        <v>2316</v>
      </c>
    </row>
    <row r="10604" spans="1:5" x14ac:dyDescent="0.25">
      <c r="A10604" s="5">
        <f>10596</f>
      </c>
      <c r="B10604" s="5" t="s">
        <v>9852</v>
      </c>
      <c r="C10604" s="5" t="s">
        <v>11</v>
      </c>
      <c r="D10604" s="5" t="s">
        <v>12</v>
      </c>
      <c r="E10604" s="5" t="s">
        <v>2316</v>
      </c>
    </row>
    <row r="10605" spans="1:5" x14ac:dyDescent="0.25">
      <c r="A10605" s="5">
        <f>10597</f>
      </c>
      <c r="B10605" s="5" t="s">
        <v>9853</v>
      </c>
      <c r="C10605" s="5" t="s">
        <v>11</v>
      </c>
      <c r="D10605" s="5" t="s">
        <v>12</v>
      </c>
      <c r="E10605" s="5" t="s">
        <v>2316</v>
      </c>
    </row>
    <row r="10606" spans="1:5" x14ac:dyDescent="0.25">
      <c r="A10606" s="5">
        <f>10598</f>
      </c>
      <c r="B10606" s="5" t="s">
        <v>9854</v>
      </c>
      <c r="C10606" s="5" t="s">
        <v>11</v>
      </c>
      <c r="D10606" s="5" t="s">
        <v>12</v>
      </c>
      <c r="E10606" s="5" t="s">
        <v>2316</v>
      </c>
    </row>
    <row r="10607" spans="1:5" x14ac:dyDescent="0.25">
      <c r="A10607" s="5">
        <f>10599</f>
      </c>
      <c r="B10607" s="5" t="s">
        <v>9855</v>
      </c>
      <c r="C10607" s="5" t="s">
        <v>11</v>
      </c>
      <c r="D10607" s="5" t="s">
        <v>12</v>
      </c>
      <c r="E10607" s="5" t="s">
        <v>2316</v>
      </c>
    </row>
    <row r="10608" spans="1:5" x14ac:dyDescent="0.25">
      <c r="A10608" s="5">
        <f>10600</f>
      </c>
      <c r="B10608" s="5" t="s">
        <v>9856</v>
      </c>
      <c r="C10608" s="5" t="s">
        <v>11</v>
      </c>
      <c r="D10608" s="5" t="s">
        <v>12</v>
      </c>
      <c r="E10608" s="5" t="s">
        <v>2316</v>
      </c>
    </row>
    <row r="10609" spans="1:5" x14ac:dyDescent="0.25">
      <c r="A10609" s="5">
        <f>10601</f>
      </c>
      <c r="B10609" s="5" t="s">
        <v>9857</v>
      </c>
      <c r="C10609" s="5" t="s">
        <v>11</v>
      </c>
      <c r="D10609" s="5" t="s">
        <v>12</v>
      </c>
      <c r="E10609" s="5" t="s">
        <v>2316</v>
      </c>
    </row>
    <row r="10610" spans="1:5" x14ac:dyDescent="0.25">
      <c r="A10610" s="5">
        <f>10602</f>
      </c>
      <c r="B10610" s="5" t="s">
        <v>9858</v>
      </c>
      <c r="C10610" s="5" t="s">
        <v>11</v>
      </c>
      <c r="D10610" s="5" t="s">
        <v>12</v>
      </c>
      <c r="E10610" s="5" t="s">
        <v>2316</v>
      </c>
    </row>
    <row r="10611" spans="1:5" x14ac:dyDescent="0.25">
      <c r="A10611" s="5">
        <f>10603</f>
      </c>
      <c r="B10611" s="5" t="s">
        <v>9859</v>
      </c>
      <c r="C10611" s="5" t="s">
        <v>11</v>
      </c>
      <c r="D10611" s="5" t="s">
        <v>12</v>
      </c>
      <c r="E10611" s="5" t="s">
        <v>2316</v>
      </c>
    </row>
    <row r="10612" spans="1:5" x14ac:dyDescent="0.25">
      <c r="A10612" s="5">
        <f>10604</f>
      </c>
      <c r="B10612" s="5" t="s">
        <v>9860</v>
      </c>
      <c r="C10612" s="5" t="s">
        <v>11</v>
      </c>
      <c r="D10612" s="5" t="s">
        <v>12</v>
      </c>
      <c r="E10612" s="5" t="s">
        <v>2316</v>
      </c>
    </row>
    <row r="10613" spans="1:5" x14ac:dyDescent="0.25">
      <c r="A10613" s="5">
        <f>10605</f>
      </c>
      <c r="B10613" s="5" t="s">
        <v>9861</v>
      </c>
      <c r="C10613" s="5" t="s">
        <v>11</v>
      </c>
      <c r="D10613" s="5" t="s">
        <v>12</v>
      </c>
      <c r="E10613" s="5" t="s">
        <v>2316</v>
      </c>
    </row>
    <row r="10614" spans="1:5" x14ac:dyDescent="0.25">
      <c r="A10614" s="5">
        <f>10606</f>
      </c>
      <c r="B10614" s="5" t="s">
        <v>9862</v>
      </c>
      <c r="C10614" s="5" t="s">
        <v>11</v>
      </c>
      <c r="D10614" s="5" t="s">
        <v>12</v>
      </c>
      <c r="E10614" s="5" t="s">
        <v>2316</v>
      </c>
    </row>
    <row r="10615" spans="1:5" x14ac:dyDescent="0.25">
      <c r="A10615" s="5">
        <f>10607</f>
      </c>
      <c r="B10615" s="5" t="s">
        <v>9863</v>
      </c>
      <c r="C10615" s="5" t="s">
        <v>11</v>
      </c>
      <c r="D10615" s="5" t="s">
        <v>12</v>
      </c>
      <c r="E10615" s="5" t="s">
        <v>2316</v>
      </c>
    </row>
    <row r="10616" spans="1:5" x14ac:dyDescent="0.25">
      <c r="A10616" s="5">
        <f>10608</f>
      </c>
      <c r="B10616" s="5" t="s">
        <v>9864</v>
      </c>
      <c r="C10616" s="5" t="s">
        <v>11</v>
      </c>
      <c r="D10616" s="5" t="s">
        <v>12</v>
      </c>
      <c r="E10616" s="5" t="s">
        <v>2316</v>
      </c>
    </row>
    <row r="10617" spans="1:5" x14ac:dyDescent="0.25">
      <c r="A10617" s="5">
        <f>10609</f>
      </c>
      <c r="B10617" s="5" t="s">
        <v>9865</v>
      </c>
      <c r="C10617" s="5" t="s">
        <v>11</v>
      </c>
      <c r="D10617" s="5" t="s">
        <v>12</v>
      </c>
      <c r="E10617" s="5" t="s">
        <v>2316</v>
      </c>
    </row>
    <row r="10618" spans="1:5" x14ac:dyDescent="0.25">
      <c r="A10618" s="5">
        <f>10610</f>
      </c>
      <c r="B10618" s="5" t="s">
        <v>9866</v>
      </c>
      <c r="C10618" s="5" t="s">
        <v>11</v>
      </c>
      <c r="D10618" s="5" t="s">
        <v>12</v>
      </c>
      <c r="E10618" s="5" t="s">
        <v>2316</v>
      </c>
    </row>
    <row r="10619" spans="1:5" x14ac:dyDescent="0.25">
      <c r="A10619" s="5">
        <f>10611</f>
      </c>
      <c r="B10619" s="5" t="s">
        <v>9867</v>
      </c>
      <c r="C10619" s="5" t="s">
        <v>11</v>
      </c>
      <c r="D10619" s="5" t="s">
        <v>12</v>
      </c>
      <c r="E10619" s="5" t="s">
        <v>2316</v>
      </c>
    </row>
    <row r="10620" spans="1:5" x14ac:dyDescent="0.25">
      <c r="A10620" s="5">
        <f>10612</f>
      </c>
      <c r="B10620" s="5" t="s">
        <v>9868</v>
      </c>
      <c r="C10620" s="5" t="s">
        <v>11</v>
      </c>
      <c r="D10620" s="5" t="s">
        <v>12</v>
      </c>
      <c r="E10620" s="5" t="s">
        <v>2316</v>
      </c>
    </row>
    <row r="10621" spans="1:5" x14ac:dyDescent="0.25">
      <c r="A10621" s="5">
        <f>10613</f>
      </c>
      <c r="B10621" s="5" t="s">
        <v>9869</v>
      </c>
      <c r="C10621" s="5" t="s">
        <v>11</v>
      </c>
      <c r="D10621" s="5" t="s">
        <v>12</v>
      </c>
      <c r="E10621" s="5" t="s">
        <v>2316</v>
      </c>
    </row>
    <row r="10622" spans="1:5" x14ac:dyDescent="0.25">
      <c r="A10622" s="5">
        <f>10614</f>
      </c>
      <c r="B10622" s="5" t="s">
        <v>9870</v>
      </c>
      <c r="C10622" s="5" t="s">
        <v>11</v>
      </c>
      <c r="D10622" s="5" t="s">
        <v>12</v>
      </c>
      <c r="E10622" s="5" t="s">
        <v>2316</v>
      </c>
    </row>
    <row r="10623" spans="1:5" x14ac:dyDescent="0.25">
      <c r="A10623" s="5">
        <f>10615</f>
      </c>
      <c r="B10623" s="5" t="s">
        <v>9871</v>
      </c>
      <c r="C10623" s="5" t="s">
        <v>11</v>
      </c>
      <c r="D10623" s="5" t="s">
        <v>12</v>
      </c>
      <c r="E10623" s="5" t="s">
        <v>2316</v>
      </c>
    </row>
    <row r="10624" spans="1:5" x14ac:dyDescent="0.25">
      <c r="A10624" s="5">
        <f>10616</f>
      </c>
      <c r="B10624" s="5" t="s">
        <v>9872</v>
      </c>
      <c r="C10624" s="5" t="s">
        <v>11</v>
      </c>
      <c r="D10624" s="5" t="s">
        <v>12</v>
      </c>
      <c r="E10624" s="5" t="s">
        <v>2316</v>
      </c>
    </row>
    <row r="10625" spans="1:5" x14ac:dyDescent="0.25">
      <c r="A10625" s="5">
        <f>10617</f>
      </c>
      <c r="B10625" s="5" t="s">
        <v>9873</v>
      </c>
      <c r="C10625" s="5" t="s">
        <v>11</v>
      </c>
      <c r="D10625" s="5" t="s">
        <v>12</v>
      </c>
      <c r="E10625" s="5" t="s">
        <v>2316</v>
      </c>
    </row>
    <row r="10626" spans="1:5" x14ac:dyDescent="0.25">
      <c r="A10626" s="5">
        <f>10618</f>
      </c>
      <c r="B10626" s="5" t="s">
        <v>9874</v>
      </c>
      <c r="C10626" s="5" t="s">
        <v>11</v>
      </c>
      <c r="D10626" s="5" t="s">
        <v>12</v>
      </c>
      <c r="E10626" s="5" t="s">
        <v>2316</v>
      </c>
    </row>
    <row r="10627" spans="1:5" x14ac:dyDescent="0.25">
      <c r="A10627" s="5">
        <f>10619</f>
      </c>
      <c r="B10627" s="5" t="s">
        <v>9875</v>
      </c>
      <c r="C10627" s="5" t="s">
        <v>11</v>
      </c>
      <c r="D10627" s="5" t="s">
        <v>12</v>
      </c>
      <c r="E10627" s="5" t="s">
        <v>2316</v>
      </c>
    </row>
    <row r="10628" spans="1:5" x14ac:dyDescent="0.25">
      <c r="A10628" s="5">
        <f>10620</f>
      </c>
      <c r="B10628" s="5" t="s">
        <v>9876</v>
      </c>
      <c r="C10628" s="5" t="s">
        <v>11</v>
      </c>
      <c r="D10628" s="5" t="s">
        <v>12</v>
      </c>
      <c r="E10628" s="5" t="s">
        <v>2316</v>
      </c>
    </row>
    <row r="10629" spans="1:5" x14ac:dyDescent="0.25">
      <c r="A10629" s="5">
        <f>10621</f>
      </c>
      <c r="B10629" s="5" t="s">
        <v>9877</v>
      </c>
      <c r="C10629" s="5" t="s">
        <v>11</v>
      </c>
      <c r="D10629" s="5" t="s">
        <v>12</v>
      </c>
      <c r="E10629" s="5" t="s">
        <v>2316</v>
      </c>
    </row>
    <row r="10630" spans="1:5" x14ac:dyDescent="0.25">
      <c r="A10630" s="5">
        <f>10622</f>
      </c>
      <c r="B10630" s="5" t="s">
        <v>9878</v>
      </c>
      <c r="C10630" s="5" t="s">
        <v>11</v>
      </c>
      <c r="D10630" s="5" t="s">
        <v>12</v>
      </c>
      <c r="E10630" s="5" t="s">
        <v>2316</v>
      </c>
    </row>
    <row r="10631" spans="1:5" x14ac:dyDescent="0.25">
      <c r="A10631" s="5">
        <f>10623</f>
      </c>
      <c r="B10631" s="5" t="s">
        <v>9879</v>
      </c>
      <c r="C10631" s="5" t="s">
        <v>11</v>
      </c>
      <c r="D10631" s="5" t="s">
        <v>12</v>
      </c>
      <c r="E10631" s="5" t="s">
        <v>2316</v>
      </c>
    </row>
    <row r="10632" spans="1:5" x14ac:dyDescent="0.25">
      <c r="A10632" s="5">
        <f>10624</f>
      </c>
      <c r="B10632" s="5" t="s">
        <v>9880</v>
      </c>
      <c r="C10632" s="5" t="s">
        <v>11</v>
      </c>
      <c r="D10632" s="5" t="s">
        <v>12</v>
      </c>
      <c r="E10632" s="5" t="s">
        <v>2316</v>
      </c>
    </row>
    <row r="10633" spans="1:5" x14ac:dyDescent="0.25">
      <c r="A10633" s="5">
        <f>10625</f>
      </c>
      <c r="B10633" s="5" t="s">
        <v>9881</v>
      </c>
      <c r="C10633" s="5" t="s">
        <v>11</v>
      </c>
      <c r="D10633" s="5" t="s">
        <v>12</v>
      </c>
      <c r="E10633" s="5" t="s">
        <v>2316</v>
      </c>
    </row>
    <row r="10634" spans="1:5" x14ac:dyDescent="0.25">
      <c r="A10634" s="5">
        <f>10626</f>
      </c>
      <c r="B10634" s="5" t="s">
        <v>9882</v>
      </c>
      <c r="C10634" s="5" t="s">
        <v>11</v>
      </c>
      <c r="D10634" s="5" t="s">
        <v>12</v>
      </c>
      <c r="E10634" s="5" t="s">
        <v>2316</v>
      </c>
    </row>
    <row r="10635" spans="1:5" x14ac:dyDescent="0.25">
      <c r="A10635" s="5">
        <f>10627</f>
      </c>
      <c r="B10635" s="5" t="s">
        <v>9883</v>
      </c>
      <c r="C10635" s="5" t="s">
        <v>11</v>
      </c>
      <c r="D10635" s="5" t="s">
        <v>12</v>
      </c>
      <c r="E10635" s="5" t="s">
        <v>2316</v>
      </c>
    </row>
    <row r="10636" spans="1:5" x14ac:dyDescent="0.25">
      <c r="A10636" s="5">
        <f>10628</f>
      </c>
      <c r="B10636" s="5" t="s">
        <v>9884</v>
      </c>
      <c r="C10636" s="5" t="s">
        <v>11</v>
      </c>
      <c r="D10636" s="5" t="s">
        <v>12</v>
      </c>
      <c r="E10636" s="5" t="s">
        <v>2316</v>
      </c>
    </row>
    <row r="10637" spans="1:5" x14ac:dyDescent="0.25">
      <c r="A10637" s="5">
        <f>10629</f>
      </c>
      <c r="B10637" s="5" t="s">
        <v>9885</v>
      </c>
      <c r="C10637" s="5" t="s">
        <v>11</v>
      </c>
      <c r="D10637" s="5" t="s">
        <v>12</v>
      </c>
      <c r="E10637" s="5" t="s">
        <v>2316</v>
      </c>
    </row>
    <row r="10638" spans="1:5" x14ac:dyDescent="0.25">
      <c r="A10638" s="5">
        <f>10630</f>
      </c>
      <c r="B10638" s="5" t="s">
        <v>9886</v>
      </c>
      <c r="C10638" s="5" t="s">
        <v>11</v>
      </c>
      <c r="D10638" s="5" t="s">
        <v>12</v>
      </c>
      <c r="E10638" s="5" t="s">
        <v>2316</v>
      </c>
    </row>
    <row r="10639" spans="1:5" x14ac:dyDescent="0.25">
      <c r="A10639" s="5">
        <f>10631</f>
      </c>
      <c r="B10639" s="5" t="s">
        <v>9887</v>
      </c>
      <c r="C10639" s="5" t="s">
        <v>11</v>
      </c>
      <c r="D10639" s="5" t="s">
        <v>12</v>
      </c>
      <c r="E10639" s="5" t="s">
        <v>2316</v>
      </c>
    </row>
    <row r="10640" spans="1:5" x14ac:dyDescent="0.25">
      <c r="A10640" s="5">
        <f>10632</f>
      </c>
      <c r="B10640" s="5" t="s">
        <v>9888</v>
      </c>
      <c r="C10640" s="5" t="s">
        <v>11</v>
      </c>
      <c r="D10640" s="5" t="s">
        <v>12</v>
      </c>
      <c r="E10640" s="5" t="s">
        <v>2316</v>
      </c>
    </row>
    <row r="10641" spans="1:5" x14ac:dyDescent="0.25">
      <c r="A10641" s="5">
        <f>10633</f>
      </c>
      <c r="B10641" s="5" t="s">
        <v>9889</v>
      </c>
      <c r="C10641" s="5" t="s">
        <v>11</v>
      </c>
      <c r="D10641" s="5" t="s">
        <v>12</v>
      </c>
      <c r="E10641" s="5" t="s">
        <v>2316</v>
      </c>
    </row>
    <row r="10642" spans="1:5" x14ac:dyDescent="0.25">
      <c r="A10642" s="5">
        <f>10634</f>
      </c>
      <c r="B10642" s="5" t="s">
        <v>9890</v>
      </c>
      <c r="C10642" s="5" t="s">
        <v>11</v>
      </c>
      <c r="D10642" s="5" t="s">
        <v>12</v>
      </c>
      <c r="E10642" s="5" t="s">
        <v>2316</v>
      </c>
    </row>
    <row r="10643" spans="1:5" x14ac:dyDescent="0.25">
      <c r="A10643" s="5">
        <f>10635</f>
      </c>
      <c r="B10643" s="5" t="s">
        <v>9891</v>
      </c>
      <c r="C10643" s="5" t="s">
        <v>11</v>
      </c>
      <c r="D10643" s="5" t="s">
        <v>12</v>
      </c>
      <c r="E10643" s="5" t="s">
        <v>2316</v>
      </c>
    </row>
    <row r="10644" spans="1:5" x14ac:dyDescent="0.25">
      <c r="A10644" s="5">
        <f>10636</f>
      </c>
      <c r="B10644" s="5" t="s">
        <v>9892</v>
      </c>
      <c r="C10644" s="5" t="s">
        <v>11</v>
      </c>
      <c r="D10644" s="5" t="s">
        <v>12</v>
      </c>
      <c r="E10644" s="5" t="s">
        <v>2316</v>
      </c>
    </row>
    <row r="10645" spans="1:5" x14ac:dyDescent="0.25">
      <c r="A10645" s="5">
        <f>10637</f>
      </c>
      <c r="B10645" s="5" t="s">
        <v>9893</v>
      </c>
      <c r="C10645" s="5" t="s">
        <v>11</v>
      </c>
      <c r="D10645" s="5" t="s">
        <v>12</v>
      </c>
      <c r="E10645" s="5" t="s">
        <v>2316</v>
      </c>
    </row>
    <row r="10646" spans="1:5" x14ac:dyDescent="0.25">
      <c r="A10646" s="5">
        <f>10638</f>
      </c>
      <c r="B10646" s="5" t="s">
        <v>9894</v>
      </c>
      <c r="C10646" s="5" t="s">
        <v>11</v>
      </c>
      <c r="D10646" s="5" t="s">
        <v>12</v>
      </c>
      <c r="E10646" s="5" t="s">
        <v>2316</v>
      </c>
    </row>
    <row r="10647" spans="1:5" x14ac:dyDescent="0.25">
      <c r="A10647" s="5">
        <f>10639</f>
      </c>
      <c r="B10647" s="5" t="s">
        <v>9895</v>
      </c>
      <c r="C10647" s="5" t="s">
        <v>11</v>
      </c>
      <c r="D10647" s="5" t="s">
        <v>12</v>
      </c>
      <c r="E10647" s="5" t="s">
        <v>2316</v>
      </c>
    </row>
    <row r="10648" spans="1:5" x14ac:dyDescent="0.25">
      <c r="A10648" s="5">
        <f>10640</f>
      </c>
      <c r="B10648" s="5" t="s">
        <v>9896</v>
      </c>
      <c r="C10648" s="5" t="s">
        <v>11</v>
      </c>
      <c r="D10648" s="5" t="s">
        <v>12</v>
      </c>
      <c r="E10648" s="5" t="s">
        <v>2316</v>
      </c>
    </row>
    <row r="10649" spans="1:5" x14ac:dyDescent="0.25">
      <c r="A10649" s="5">
        <f>10641</f>
      </c>
      <c r="B10649" s="5" t="s">
        <v>9897</v>
      </c>
      <c r="C10649" s="5" t="s">
        <v>11</v>
      </c>
      <c r="D10649" s="5" t="s">
        <v>12</v>
      </c>
      <c r="E10649" s="5" t="s">
        <v>2316</v>
      </c>
    </row>
    <row r="10650" spans="1:5" x14ac:dyDescent="0.25">
      <c r="A10650" s="5">
        <f>10642</f>
      </c>
      <c r="B10650" s="5" t="s">
        <v>9898</v>
      </c>
      <c r="C10650" s="5" t="s">
        <v>11</v>
      </c>
      <c r="D10650" s="5" t="s">
        <v>12</v>
      </c>
      <c r="E10650" s="5" t="s">
        <v>2316</v>
      </c>
    </row>
    <row r="10651" spans="1:5" x14ac:dyDescent="0.25">
      <c r="A10651" s="5">
        <f>10643</f>
      </c>
      <c r="B10651" s="5" t="s">
        <v>9899</v>
      </c>
      <c r="C10651" s="5" t="s">
        <v>11</v>
      </c>
      <c r="D10651" s="5" t="s">
        <v>12</v>
      </c>
      <c r="E10651" s="5" t="s">
        <v>2316</v>
      </c>
    </row>
    <row r="10652" spans="1:5" x14ac:dyDescent="0.25">
      <c r="A10652" s="5">
        <f>10644</f>
      </c>
      <c r="B10652" s="5" t="s">
        <v>9900</v>
      </c>
      <c r="C10652" s="5" t="s">
        <v>11</v>
      </c>
      <c r="D10652" s="5" t="s">
        <v>12</v>
      </c>
      <c r="E10652" s="5" t="s">
        <v>2316</v>
      </c>
    </row>
    <row r="10653" spans="1:5" x14ac:dyDescent="0.25">
      <c r="A10653" s="5">
        <f>10645</f>
      </c>
      <c r="B10653" s="5" t="s">
        <v>9901</v>
      </c>
      <c r="C10653" s="5" t="s">
        <v>11</v>
      </c>
      <c r="D10653" s="5" t="s">
        <v>12</v>
      </c>
      <c r="E10653" s="5" t="s">
        <v>2316</v>
      </c>
    </row>
    <row r="10654" spans="1:5" x14ac:dyDescent="0.25">
      <c r="A10654" s="5">
        <f>10646</f>
      </c>
      <c r="B10654" s="5" t="s">
        <v>9902</v>
      </c>
      <c r="C10654" s="5" t="s">
        <v>11</v>
      </c>
      <c r="D10654" s="5" t="s">
        <v>12</v>
      </c>
      <c r="E10654" s="5" t="s">
        <v>2316</v>
      </c>
    </row>
    <row r="10655" spans="1:5" x14ac:dyDescent="0.25">
      <c r="A10655" s="5">
        <f>10647</f>
      </c>
      <c r="B10655" s="5" t="s">
        <v>9903</v>
      </c>
      <c r="C10655" s="5" t="s">
        <v>11</v>
      </c>
      <c r="D10655" s="5" t="s">
        <v>12</v>
      </c>
      <c r="E10655" s="5" t="s">
        <v>2316</v>
      </c>
    </row>
    <row r="10656" spans="1:5" x14ac:dyDescent="0.25">
      <c r="A10656" s="5">
        <f>10648</f>
      </c>
      <c r="B10656" s="5" t="s">
        <v>9904</v>
      </c>
      <c r="C10656" s="5" t="s">
        <v>11</v>
      </c>
      <c r="D10656" s="5" t="s">
        <v>12</v>
      </c>
      <c r="E10656" s="5" t="s">
        <v>2316</v>
      </c>
    </row>
    <row r="10657" spans="1:5" x14ac:dyDescent="0.25">
      <c r="A10657" s="5">
        <f>10649</f>
      </c>
      <c r="B10657" s="5" t="s">
        <v>9905</v>
      </c>
      <c r="C10657" s="5" t="s">
        <v>11</v>
      </c>
      <c r="D10657" s="5" t="s">
        <v>12</v>
      </c>
      <c r="E10657" s="5" t="s">
        <v>2316</v>
      </c>
    </row>
    <row r="10658" spans="1:5" x14ac:dyDescent="0.25">
      <c r="A10658" s="5">
        <f>10650</f>
      </c>
      <c r="B10658" s="5" t="s">
        <v>9906</v>
      </c>
      <c r="C10658" s="5" t="s">
        <v>11</v>
      </c>
      <c r="D10658" s="5" t="s">
        <v>12</v>
      </c>
      <c r="E10658" s="5" t="s">
        <v>2316</v>
      </c>
    </row>
    <row r="10659" spans="1:5" x14ac:dyDescent="0.25">
      <c r="A10659" s="5">
        <f>10651</f>
      </c>
      <c r="B10659" s="5" t="s">
        <v>9907</v>
      </c>
      <c r="C10659" s="5" t="s">
        <v>11</v>
      </c>
      <c r="D10659" s="5" t="s">
        <v>12</v>
      </c>
      <c r="E10659" s="5" t="s">
        <v>2316</v>
      </c>
    </row>
    <row r="10660" spans="1:5" x14ac:dyDescent="0.25">
      <c r="A10660" s="5">
        <f>10652</f>
      </c>
      <c r="B10660" s="5" t="s">
        <v>9908</v>
      </c>
      <c r="C10660" s="5" t="s">
        <v>11</v>
      </c>
      <c r="D10660" s="5" t="s">
        <v>12</v>
      </c>
      <c r="E10660" s="5" t="s">
        <v>2316</v>
      </c>
    </row>
    <row r="10661" spans="1:5" x14ac:dyDescent="0.25">
      <c r="A10661" s="5">
        <f>10653</f>
      </c>
      <c r="B10661" s="5" t="s">
        <v>9909</v>
      </c>
      <c r="C10661" s="5" t="s">
        <v>11</v>
      </c>
      <c r="D10661" s="5" t="s">
        <v>12</v>
      </c>
      <c r="E10661" s="5" t="s">
        <v>2316</v>
      </c>
    </row>
    <row r="10662" spans="1:5" x14ac:dyDescent="0.25">
      <c r="A10662" s="5">
        <f>10654</f>
      </c>
      <c r="B10662" s="5" t="s">
        <v>9910</v>
      </c>
      <c r="C10662" s="5" t="s">
        <v>11</v>
      </c>
      <c r="D10662" s="5" t="s">
        <v>12</v>
      </c>
      <c r="E10662" s="5" t="s">
        <v>2316</v>
      </c>
    </row>
    <row r="10663" spans="1:5" x14ac:dyDescent="0.25">
      <c r="A10663" s="5">
        <f>10655</f>
      </c>
      <c r="B10663" s="5" t="s">
        <v>9911</v>
      </c>
      <c r="C10663" s="5" t="s">
        <v>11</v>
      </c>
      <c r="D10663" s="5" t="s">
        <v>12</v>
      </c>
      <c r="E10663" s="5" t="s">
        <v>2316</v>
      </c>
    </row>
    <row r="10664" spans="1:5" x14ac:dyDescent="0.25">
      <c r="A10664" s="5">
        <f>10656</f>
      </c>
      <c r="B10664" s="5" t="s">
        <v>9912</v>
      </c>
      <c r="C10664" s="5" t="s">
        <v>11</v>
      </c>
      <c r="D10664" s="5" t="s">
        <v>12</v>
      </c>
      <c r="E10664" s="5" t="s">
        <v>2316</v>
      </c>
    </row>
    <row r="10665" spans="1:5" x14ac:dyDescent="0.25">
      <c r="A10665" s="5">
        <f>10657</f>
      </c>
      <c r="B10665" s="5" t="s">
        <v>9913</v>
      </c>
      <c r="C10665" s="5" t="s">
        <v>11</v>
      </c>
      <c r="D10665" s="5" t="s">
        <v>12</v>
      </c>
      <c r="E10665" s="5" t="s">
        <v>2316</v>
      </c>
    </row>
    <row r="10666" spans="1:5" x14ac:dyDescent="0.25">
      <c r="A10666" s="5">
        <f>10658</f>
      </c>
      <c r="B10666" s="5" t="s">
        <v>9914</v>
      </c>
      <c r="C10666" s="5" t="s">
        <v>11</v>
      </c>
      <c r="D10666" s="5" t="s">
        <v>12</v>
      </c>
      <c r="E10666" s="5" t="s">
        <v>2316</v>
      </c>
    </row>
    <row r="10667" spans="1:5" x14ac:dyDescent="0.25">
      <c r="A10667" s="5">
        <f>10659</f>
      </c>
      <c r="B10667" s="5" t="s">
        <v>9915</v>
      </c>
      <c r="C10667" s="5" t="s">
        <v>11</v>
      </c>
      <c r="D10667" s="5" t="s">
        <v>12</v>
      </c>
      <c r="E10667" s="5" t="s">
        <v>2316</v>
      </c>
    </row>
    <row r="10668" spans="1:5" x14ac:dyDescent="0.25">
      <c r="A10668" s="5">
        <f>10660</f>
      </c>
      <c r="B10668" s="5" t="s">
        <v>9916</v>
      </c>
      <c r="C10668" s="5" t="s">
        <v>11</v>
      </c>
      <c r="D10668" s="5" t="s">
        <v>12</v>
      </c>
      <c r="E10668" s="5" t="s">
        <v>2316</v>
      </c>
    </row>
    <row r="10669" spans="1:5" x14ac:dyDescent="0.25">
      <c r="A10669" s="5">
        <f>10661</f>
      </c>
      <c r="B10669" s="5" t="s">
        <v>9917</v>
      </c>
      <c r="C10669" s="5" t="s">
        <v>11</v>
      </c>
      <c r="D10669" s="5" t="s">
        <v>12</v>
      </c>
      <c r="E10669" s="5" t="s">
        <v>2316</v>
      </c>
    </row>
    <row r="10670" spans="1:5" x14ac:dyDescent="0.25">
      <c r="A10670" s="5">
        <f>10662</f>
      </c>
      <c r="B10670" s="5" t="s">
        <v>9918</v>
      </c>
      <c r="C10670" s="5" t="s">
        <v>11</v>
      </c>
      <c r="D10670" s="5" t="s">
        <v>12</v>
      </c>
      <c r="E10670" s="5" t="s">
        <v>2316</v>
      </c>
    </row>
    <row r="10671" spans="1:5" x14ac:dyDescent="0.25">
      <c r="A10671" s="5">
        <f>10663</f>
      </c>
      <c r="B10671" s="5" t="s">
        <v>9919</v>
      </c>
      <c r="C10671" s="5" t="s">
        <v>11</v>
      </c>
      <c r="D10671" s="5" t="s">
        <v>12</v>
      </c>
      <c r="E10671" s="5" t="s">
        <v>2316</v>
      </c>
    </row>
    <row r="10672" spans="1:5" x14ac:dyDescent="0.25">
      <c r="A10672" s="5">
        <f>10664</f>
      </c>
      <c r="B10672" s="5" t="s">
        <v>9920</v>
      </c>
      <c r="C10672" s="5" t="s">
        <v>11</v>
      </c>
      <c r="D10672" s="5" t="s">
        <v>12</v>
      </c>
      <c r="E10672" s="5" t="s">
        <v>2316</v>
      </c>
    </row>
    <row r="10673" spans="1:5" x14ac:dyDescent="0.25">
      <c r="A10673" s="5">
        <f>10665</f>
      </c>
      <c r="B10673" s="5" t="s">
        <v>9921</v>
      </c>
      <c r="C10673" s="5" t="s">
        <v>11</v>
      </c>
      <c r="D10673" s="5" t="s">
        <v>12</v>
      </c>
      <c r="E10673" s="5" t="s">
        <v>2316</v>
      </c>
    </row>
    <row r="10674" spans="1:5" x14ac:dyDescent="0.25">
      <c r="A10674" s="5">
        <f>10666</f>
      </c>
      <c r="B10674" s="5" t="s">
        <v>9922</v>
      </c>
      <c r="C10674" s="5" t="s">
        <v>11</v>
      </c>
      <c r="D10674" s="5" t="s">
        <v>12</v>
      </c>
      <c r="E10674" s="5" t="s">
        <v>2316</v>
      </c>
    </row>
    <row r="10675" spans="1:5" x14ac:dyDescent="0.25">
      <c r="A10675" s="5">
        <f>10667</f>
      </c>
      <c r="B10675" s="5" t="s">
        <v>9923</v>
      </c>
      <c r="C10675" s="5" t="s">
        <v>11</v>
      </c>
      <c r="D10675" s="5" t="s">
        <v>12</v>
      </c>
      <c r="E10675" s="5" t="s">
        <v>2316</v>
      </c>
    </row>
    <row r="10676" spans="1:5" x14ac:dyDescent="0.25">
      <c r="A10676" s="5">
        <f>10668</f>
      </c>
      <c r="B10676" s="5" t="s">
        <v>9924</v>
      </c>
      <c r="C10676" s="5" t="s">
        <v>11</v>
      </c>
      <c r="D10676" s="5" t="s">
        <v>12</v>
      </c>
      <c r="E10676" s="5" t="s">
        <v>2316</v>
      </c>
    </row>
    <row r="10677" spans="1:5" x14ac:dyDescent="0.25">
      <c r="A10677" s="5">
        <f>10669</f>
      </c>
      <c r="B10677" s="5" t="s">
        <v>9925</v>
      </c>
      <c r="C10677" s="5" t="s">
        <v>11</v>
      </c>
      <c r="D10677" s="5" t="s">
        <v>12</v>
      </c>
      <c r="E10677" s="5" t="s">
        <v>2316</v>
      </c>
    </row>
    <row r="10678" spans="1:5" x14ac:dyDescent="0.25">
      <c r="A10678" s="5">
        <f>10670</f>
      </c>
      <c r="B10678" s="5" t="s">
        <v>9926</v>
      </c>
      <c r="C10678" s="5" t="s">
        <v>11</v>
      </c>
      <c r="D10678" s="5" t="s">
        <v>12</v>
      </c>
      <c r="E10678" s="5" t="s">
        <v>2316</v>
      </c>
    </row>
    <row r="10679" spans="1:5" x14ac:dyDescent="0.25">
      <c r="A10679" s="5">
        <f>10671</f>
      </c>
      <c r="B10679" s="5" t="s">
        <v>9927</v>
      </c>
      <c r="C10679" s="5" t="s">
        <v>11</v>
      </c>
      <c r="D10679" s="5" t="s">
        <v>12</v>
      </c>
      <c r="E10679" s="5" t="s">
        <v>2316</v>
      </c>
    </row>
    <row r="10680" spans="1:5" x14ac:dyDescent="0.25">
      <c r="A10680" s="5">
        <f>10672</f>
      </c>
      <c r="B10680" s="5" t="s">
        <v>9928</v>
      </c>
      <c r="C10680" s="5" t="s">
        <v>11</v>
      </c>
      <c r="D10680" s="5" t="s">
        <v>12</v>
      </c>
      <c r="E10680" s="5" t="s">
        <v>2316</v>
      </c>
    </row>
    <row r="10681" spans="1:5" x14ac:dyDescent="0.25">
      <c r="A10681" s="5">
        <f>10673</f>
      </c>
      <c r="B10681" s="5" t="s">
        <v>9929</v>
      </c>
      <c r="C10681" s="5" t="s">
        <v>11</v>
      </c>
      <c r="D10681" s="5" t="s">
        <v>12</v>
      </c>
      <c r="E10681" s="5" t="s">
        <v>2316</v>
      </c>
    </row>
    <row r="10682" spans="1:5" x14ac:dyDescent="0.25">
      <c r="A10682" s="5">
        <f>10674</f>
      </c>
      <c r="B10682" s="5" t="s">
        <v>9930</v>
      </c>
      <c r="C10682" s="5" t="s">
        <v>11</v>
      </c>
      <c r="D10682" s="5" t="s">
        <v>12</v>
      </c>
      <c r="E10682" s="5" t="s">
        <v>2316</v>
      </c>
    </row>
    <row r="10683" spans="1:5" x14ac:dyDescent="0.25">
      <c r="A10683" s="5">
        <f>10675</f>
      </c>
      <c r="B10683" s="5" t="s">
        <v>9931</v>
      </c>
      <c r="C10683" s="5" t="s">
        <v>11</v>
      </c>
      <c r="D10683" s="5" t="s">
        <v>12</v>
      </c>
      <c r="E10683" s="5" t="s">
        <v>2316</v>
      </c>
    </row>
    <row r="10684" spans="1:5" x14ac:dyDescent="0.25">
      <c r="A10684" s="5">
        <f>10676</f>
      </c>
      <c r="B10684" s="5" t="s">
        <v>9932</v>
      </c>
      <c r="C10684" s="5" t="s">
        <v>11</v>
      </c>
      <c r="D10684" s="5" t="s">
        <v>12</v>
      </c>
      <c r="E10684" s="5" t="s">
        <v>2316</v>
      </c>
    </row>
    <row r="10685" spans="1:5" x14ac:dyDescent="0.25">
      <c r="A10685" s="5">
        <f>10677</f>
      </c>
      <c r="B10685" s="5" t="s">
        <v>9933</v>
      </c>
      <c r="C10685" s="5" t="s">
        <v>11</v>
      </c>
      <c r="D10685" s="5" t="s">
        <v>12</v>
      </c>
      <c r="E10685" s="5" t="s">
        <v>2316</v>
      </c>
    </row>
    <row r="10686" spans="1:5" x14ac:dyDescent="0.25">
      <c r="A10686" s="5">
        <f>10678</f>
      </c>
      <c r="B10686" s="5" t="s">
        <v>9934</v>
      </c>
      <c r="C10686" s="5" t="s">
        <v>11</v>
      </c>
      <c r="D10686" s="5" t="s">
        <v>12</v>
      </c>
      <c r="E10686" s="5" t="s">
        <v>2316</v>
      </c>
    </row>
    <row r="10687" spans="1:5" x14ac:dyDescent="0.25">
      <c r="A10687" s="5">
        <f>10679</f>
      </c>
      <c r="B10687" s="5" t="s">
        <v>9935</v>
      </c>
      <c r="C10687" s="5" t="s">
        <v>11</v>
      </c>
      <c r="D10687" s="5" t="s">
        <v>12</v>
      </c>
      <c r="E10687" s="5" t="s">
        <v>2316</v>
      </c>
    </row>
    <row r="10688" spans="1:5" x14ac:dyDescent="0.25">
      <c r="A10688" s="5">
        <f>10680</f>
      </c>
      <c r="B10688" s="5" t="s">
        <v>9936</v>
      </c>
      <c r="C10688" s="5" t="s">
        <v>11</v>
      </c>
      <c r="D10688" s="5" t="s">
        <v>12</v>
      </c>
      <c r="E10688" s="5" t="s">
        <v>2316</v>
      </c>
    </row>
    <row r="10689" spans="1:5" x14ac:dyDescent="0.25">
      <c r="A10689" s="5">
        <f>10681</f>
      </c>
      <c r="B10689" s="5" t="s">
        <v>9937</v>
      </c>
      <c r="C10689" s="5" t="s">
        <v>11</v>
      </c>
      <c r="D10689" s="5" t="s">
        <v>12</v>
      </c>
      <c r="E10689" s="5" t="s">
        <v>2316</v>
      </c>
    </row>
    <row r="10690" spans="1:5" x14ac:dyDescent="0.25">
      <c r="A10690" s="5">
        <f>10682</f>
      </c>
      <c r="B10690" s="5" t="s">
        <v>9938</v>
      </c>
      <c r="C10690" s="5" t="s">
        <v>11</v>
      </c>
      <c r="D10690" s="5" t="s">
        <v>12</v>
      </c>
      <c r="E10690" s="5" t="s">
        <v>879</v>
      </c>
    </row>
    <row r="10691" spans="1:5" x14ac:dyDescent="0.25">
      <c r="A10691" s="5">
        <f>10683</f>
      </c>
      <c r="B10691" s="5" t="s">
        <v>9939</v>
      </c>
      <c r="C10691" s="5" t="s">
        <v>11</v>
      </c>
      <c r="D10691" s="5" t="s">
        <v>12</v>
      </c>
      <c r="E10691" s="5" t="s">
        <v>879</v>
      </c>
    </row>
    <row r="10692" spans="1:5" x14ac:dyDescent="0.25">
      <c r="A10692" s="5">
        <f>10684</f>
      </c>
      <c r="B10692" s="5" t="s">
        <v>9940</v>
      </c>
      <c r="C10692" s="5" t="s">
        <v>11</v>
      </c>
      <c r="D10692" s="5" t="s">
        <v>12</v>
      </c>
      <c r="E10692" s="5" t="s">
        <v>879</v>
      </c>
    </row>
    <row r="10693" spans="1:5" x14ac:dyDescent="0.25">
      <c r="A10693" s="5">
        <f>10685</f>
      </c>
      <c r="B10693" s="5" t="s">
        <v>9941</v>
      </c>
      <c r="C10693" s="5" t="s">
        <v>11</v>
      </c>
      <c r="D10693" s="5" t="s">
        <v>12</v>
      </c>
      <c r="E10693" s="5" t="s">
        <v>879</v>
      </c>
    </row>
    <row r="10694" spans="1:5" x14ac:dyDescent="0.25">
      <c r="A10694" s="5">
        <f>10686</f>
      </c>
      <c r="B10694" s="5" t="s">
        <v>9942</v>
      </c>
      <c r="C10694" s="5" t="s">
        <v>11</v>
      </c>
      <c r="D10694" s="5" t="s">
        <v>12</v>
      </c>
      <c r="E10694" s="5" t="s">
        <v>879</v>
      </c>
    </row>
    <row r="10695" spans="1:5" x14ac:dyDescent="0.25">
      <c r="A10695" s="5">
        <f>10687</f>
      </c>
      <c r="B10695" s="5" t="s">
        <v>9943</v>
      </c>
      <c r="C10695" s="5" t="s">
        <v>11</v>
      </c>
      <c r="D10695" s="5" t="s">
        <v>12</v>
      </c>
      <c r="E10695" s="5" t="s">
        <v>879</v>
      </c>
    </row>
    <row r="10696" spans="1:5" x14ac:dyDescent="0.25">
      <c r="A10696" s="5">
        <f>10688</f>
      </c>
      <c r="B10696" s="5" t="s">
        <v>9944</v>
      </c>
      <c r="C10696" s="5" t="s">
        <v>11</v>
      </c>
      <c r="D10696" s="5" t="s">
        <v>12</v>
      </c>
      <c r="E10696" s="5" t="s">
        <v>879</v>
      </c>
    </row>
    <row r="10697" spans="1:5" x14ac:dyDescent="0.25">
      <c r="A10697" s="5">
        <f>10689</f>
      </c>
      <c r="B10697" s="5" t="s">
        <v>9945</v>
      </c>
      <c r="C10697" s="5" t="s">
        <v>11</v>
      </c>
      <c r="D10697" s="5" t="s">
        <v>12</v>
      </c>
      <c r="E10697" s="5" t="s">
        <v>879</v>
      </c>
    </row>
    <row r="10698" spans="1:5" x14ac:dyDescent="0.25">
      <c r="A10698" s="5">
        <f>10690</f>
      </c>
      <c r="B10698" s="5" t="s">
        <v>9946</v>
      </c>
      <c r="C10698" s="5" t="s">
        <v>11</v>
      </c>
      <c r="D10698" s="5" t="s">
        <v>12</v>
      </c>
      <c r="E10698" s="5" t="s">
        <v>879</v>
      </c>
    </row>
    <row r="10699" spans="1:5" x14ac:dyDescent="0.25">
      <c r="A10699" s="5">
        <f>10691</f>
      </c>
      <c r="B10699" s="5" t="s">
        <v>9947</v>
      </c>
      <c r="C10699" s="5" t="s">
        <v>11</v>
      </c>
      <c r="D10699" s="5" t="s">
        <v>12</v>
      </c>
      <c r="E10699" s="5" t="s">
        <v>879</v>
      </c>
    </row>
    <row r="10700" spans="1:5" x14ac:dyDescent="0.25">
      <c r="A10700" s="5">
        <f>10692</f>
      </c>
      <c r="B10700" s="5" t="s">
        <v>9948</v>
      </c>
      <c r="C10700" s="5" t="s">
        <v>11</v>
      </c>
      <c r="D10700" s="5" t="s">
        <v>12</v>
      </c>
      <c r="E10700" s="5" t="s">
        <v>879</v>
      </c>
    </row>
    <row r="10701" spans="1:5" x14ac:dyDescent="0.25">
      <c r="A10701" s="5">
        <f>10693</f>
      </c>
      <c r="B10701" s="5" t="s">
        <v>9949</v>
      </c>
      <c r="C10701" s="5" t="s">
        <v>11</v>
      </c>
      <c r="D10701" s="5" t="s">
        <v>12</v>
      </c>
      <c r="E10701" s="5" t="s">
        <v>879</v>
      </c>
    </row>
    <row r="10702" spans="1:5" x14ac:dyDescent="0.25">
      <c r="A10702" s="5">
        <f>10694</f>
      </c>
      <c r="B10702" s="5" t="s">
        <v>9950</v>
      </c>
      <c r="C10702" s="5" t="s">
        <v>11</v>
      </c>
      <c r="D10702" s="5" t="s">
        <v>12</v>
      </c>
      <c r="E10702" s="5" t="s">
        <v>879</v>
      </c>
    </row>
    <row r="10703" spans="1:5" x14ac:dyDescent="0.25">
      <c r="A10703" s="5">
        <f>10695</f>
      </c>
      <c r="B10703" s="5" t="s">
        <v>9951</v>
      </c>
      <c r="C10703" s="5" t="s">
        <v>11</v>
      </c>
      <c r="D10703" s="5" t="s">
        <v>12</v>
      </c>
      <c r="E10703" s="5" t="s">
        <v>879</v>
      </c>
    </row>
    <row r="10704" spans="1:5" x14ac:dyDescent="0.25">
      <c r="A10704" s="5">
        <f>10696</f>
      </c>
      <c r="B10704" s="5" t="s">
        <v>9952</v>
      </c>
      <c r="C10704" s="5" t="s">
        <v>11</v>
      </c>
      <c r="D10704" s="5" t="s">
        <v>12</v>
      </c>
      <c r="E10704" s="5" t="s">
        <v>879</v>
      </c>
    </row>
    <row r="10705" spans="1:5" x14ac:dyDescent="0.25">
      <c r="A10705" s="5">
        <f>10697</f>
      </c>
      <c r="B10705" s="5" t="s">
        <v>9953</v>
      </c>
      <c r="C10705" s="5" t="s">
        <v>11</v>
      </c>
      <c r="D10705" s="5" t="s">
        <v>12</v>
      </c>
      <c r="E10705" s="5" t="s">
        <v>879</v>
      </c>
    </row>
    <row r="10706" spans="1:5" x14ac:dyDescent="0.25">
      <c r="A10706" s="5">
        <f>10698</f>
      </c>
      <c r="B10706" s="5" t="s">
        <v>9954</v>
      </c>
      <c r="C10706" s="5" t="s">
        <v>11</v>
      </c>
      <c r="D10706" s="5" t="s">
        <v>12</v>
      </c>
      <c r="E10706" s="5" t="s">
        <v>879</v>
      </c>
    </row>
    <row r="10707" spans="1:5" x14ac:dyDescent="0.25">
      <c r="A10707" s="5">
        <f>10699</f>
      </c>
      <c r="B10707" s="5" t="s">
        <v>9955</v>
      </c>
      <c r="C10707" s="5" t="s">
        <v>11</v>
      </c>
      <c r="D10707" s="5" t="s">
        <v>12</v>
      </c>
      <c r="E10707" s="5" t="s">
        <v>879</v>
      </c>
    </row>
    <row r="10708" spans="1:5" x14ac:dyDescent="0.25">
      <c r="A10708" s="5">
        <f>10700</f>
      </c>
      <c r="B10708" s="5" t="s">
        <v>9956</v>
      </c>
      <c r="C10708" s="5" t="s">
        <v>11</v>
      </c>
      <c r="D10708" s="5" t="s">
        <v>12</v>
      </c>
      <c r="E10708" s="5" t="s">
        <v>879</v>
      </c>
    </row>
    <row r="10709" spans="1:5" x14ac:dyDescent="0.25">
      <c r="A10709" s="5">
        <f>10701</f>
      </c>
      <c r="B10709" s="5" t="s">
        <v>9957</v>
      </c>
      <c r="C10709" s="5" t="s">
        <v>11</v>
      </c>
      <c r="D10709" s="5" t="s">
        <v>12</v>
      </c>
      <c r="E10709" s="5" t="s">
        <v>879</v>
      </c>
    </row>
    <row r="10710" spans="1:5" x14ac:dyDescent="0.25">
      <c r="A10710" s="5">
        <f>10702</f>
      </c>
      <c r="B10710" s="5" t="s">
        <v>9958</v>
      </c>
      <c r="C10710" s="5" t="s">
        <v>11</v>
      </c>
      <c r="D10710" s="5" t="s">
        <v>12</v>
      </c>
      <c r="E10710" s="5" t="s">
        <v>879</v>
      </c>
    </row>
    <row r="10711" spans="1:5" x14ac:dyDescent="0.25">
      <c r="A10711" s="5">
        <f>10703</f>
      </c>
      <c r="B10711" s="5" t="s">
        <v>9959</v>
      </c>
      <c r="C10711" s="5" t="s">
        <v>11</v>
      </c>
      <c r="D10711" s="5" t="s">
        <v>12</v>
      </c>
      <c r="E10711" s="5" t="s">
        <v>879</v>
      </c>
    </row>
    <row r="10712" spans="1:5" x14ac:dyDescent="0.25">
      <c r="A10712" s="5">
        <f>10704</f>
      </c>
      <c r="B10712" s="5" t="s">
        <v>9960</v>
      </c>
      <c r="C10712" s="5" t="s">
        <v>11</v>
      </c>
      <c r="D10712" s="5" t="s">
        <v>12</v>
      </c>
      <c r="E10712" s="5" t="s">
        <v>879</v>
      </c>
    </row>
    <row r="10713" spans="1:5" x14ac:dyDescent="0.25">
      <c r="A10713" s="5">
        <f>10705</f>
      </c>
      <c r="B10713" s="5" t="s">
        <v>9961</v>
      </c>
      <c r="C10713" s="5" t="s">
        <v>11</v>
      </c>
      <c r="D10713" s="5" t="s">
        <v>12</v>
      </c>
      <c r="E10713" s="5" t="s">
        <v>879</v>
      </c>
    </row>
    <row r="10714" spans="1:5" x14ac:dyDescent="0.25">
      <c r="A10714" s="5">
        <f>10706</f>
      </c>
      <c r="B10714" s="5" t="s">
        <v>9962</v>
      </c>
      <c r="C10714" s="5" t="s">
        <v>11</v>
      </c>
      <c r="D10714" s="5" t="s">
        <v>12</v>
      </c>
      <c r="E10714" s="5" t="s">
        <v>879</v>
      </c>
    </row>
    <row r="10715" spans="1:5" x14ac:dyDescent="0.25">
      <c r="A10715" s="5">
        <f>10707</f>
      </c>
      <c r="B10715" s="5" t="s">
        <v>9963</v>
      </c>
      <c r="C10715" s="5" t="s">
        <v>11</v>
      </c>
      <c r="D10715" s="5" t="s">
        <v>12</v>
      </c>
      <c r="E10715" s="5" t="s">
        <v>879</v>
      </c>
    </row>
    <row r="10716" spans="1:5" x14ac:dyDescent="0.25">
      <c r="A10716" s="5">
        <f>10708</f>
      </c>
      <c r="B10716" s="5" t="s">
        <v>9964</v>
      </c>
      <c r="C10716" s="5" t="s">
        <v>11</v>
      </c>
      <c r="D10716" s="5" t="s">
        <v>12</v>
      </c>
      <c r="E10716" s="5" t="s">
        <v>879</v>
      </c>
    </row>
    <row r="10717" spans="1:5" x14ac:dyDescent="0.25">
      <c r="A10717" s="5">
        <f>10709</f>
      </c>
      <c r="B10717" s="5" t="s">
        <v>9965</v>
      </c>
      <c r="C10717" s="5" t="s">
        <v>11</v>
      </c>
      <c r="D10717" s="5" t="s">
        <v>12</v>
      </c>
      <c r="E10717" s="5" t="s">
        <v>879</v>
      </c>
    </row>
    <row r="10718" spans="1:5" x14ac:dyDescent="0.25">
      <c r="A10718" s="5">
        <f>10710</f>
      </c>
      <c r="B10718" s="5" t="s">
        <v>9966</v>
      </c>
      <c r="C10718" s="5" t="s">
        <v>11</v>
      </c>
      <c r="D10718" s="5" t="s">
        <v>12</v>
      </c>
      <c r="E10718" s="5" t="s">
        <v>879</v>
      </c>
    </row>
    <row r="10719" spans="1:5" x14ac:dyDescent="0.25">
      <c r="A10719" s="5">
        <f>10711</f>
      </c>
      <c r="B10719" s="5" t="s">
        <v>9967</v>
      </c>
      <c r="C10719" s="5" t="s">
        <v>11</v>
      </c>
      <c r="D10719" s="5" t="s">
        <v>12</v>
      </c>
      <c r="E10719" s="5" t="s">
        <v>879</v>
      </c>
    </row>
    <row r="10720" spans="1:5" x14ac:dyDescent="0.25">
      <c r="A10720" s="5">
        <f>10712</f>
      </c>
      <c r="B10720" s="5" t="s">
        <v>9968</v>
      </c>
      <c r="C10720" s="5" t="s">
        <v>11</v>
      </c>
      <c r="D10720" s="5" t="s">
        <v>12</v>
      </c>
      <c r="E10720" s="5" t="s">
        <v>879</v>
      </c>
    </row>
    <row r="10721" spans="1:5" x14ac:dyDescent="0.25">
      <c r="A10721" s="5">
        <f>10713</f>
      </c>
      <c r="B10721" s="5" t="s">
        <v>9969</v>
      </c>
      <c r="C10721" s="5" t="s">
        <v>11</v>
      </c>
      <c r="D10721" s="5" t="s">
        <v>12</v>
      </c>
      <c r="E10721" s="5" t="s">
        <v>879</v>
      </c>
    </row>
    <row r="10722" spans="1:5" x14ac:dyDescent="0.25">
      <c r="A10722" s="5">
        <f>10714</f>
      </c>
      <c r="B10722" s="5" t="s">
        <v>9970</v>
      </c>
      <c r="C10722" s="5" t="s">
        <v>11</v>
      </c>
      <c r="D10722" s="5" t="s">
        <v>12</v>
      </c>
      <c r="E10722" s="5" t="s">
        <v>879</v>
      </c>
    </row>
    <row r="10723" spans="1:5" x14ac:dyDescent="0.25">
      <c r="A10723" s="5">
        <f>10715</f>
      </c>
      <c r="B10723" s="5" t="s">
        <v>9971</v>
      </c>
      <c r="C10723" s="5" t="s">
        <v>11</v>
      </c>
      <c r="D10723" s="5" t="s">
        <v>12</v>
      </c>
      <c r="E10723" s="5" t="s">
        <v>879</v>
      </c>
    </row>
    <row r="10724" spans="1:5" x14ac:dyDescent="0.25">
      <c r="A10724" s="5">
        <f>10716</f>
      </c>
      <c r="B10724" s="5" t="s">
        <v>9972</v>
      </c>
      <c r="C10724" s="5" t="s">
        <v>11</v>
      </c>
      <c r="D10724" s="5" t="s">
        <v>12</v>
      </c>
      <c r="E10724" s="5" t="s">
        <v>879</v>
      </c>
    </row>
    <row r="10725" spans="1:5" x14ac:dyDescent="0.25">
      <c r="A10725" s="5">
        <f>10717</f>
      </c>
      <c r="B10725" s="5" t="s">
        <v>9973</v>
      </c>
      <c r="C10725" s="5" t="s">
        <v>11</v>
      </c>
      <c r="D10725" s="5" t="s">
        <v>12</v>
      </c>
      <c r="E10725" s="5" t="s">
        <v>879</v>
      </c>
    </row>
    <row r="10726" spans="1:5" x14ac:dyDescent="0.25">
      <c r="A10726" s="5">
        <f>10718</f>
      </c>
      <c r="B10726" s="5" t="s">
        <v>9974</v>
      </c>
      <c r="C10726" s="5" t="s">
        <v>11</v>
      </c>
      <c r="D10726" s="5" t="s">
        <v>12</v>
      </c>
      <c r="E10726" s="5" t="s">
        <v>879</v>
      </c>
    </row>
    <row r="10727" spans="1:5" x14ac:dyDescent="0.25">
      <c r="A10727" s="5">
        <f>10719</f>
      </c>
      <c r="B10727" s="5" t="s">
        <v>9975</v>
      </c>
      <c r="C10727" s="5" t="s">
        <v>11</v>
      </c>
      <c r="D10727" s="5" t="s">
        <v>12</v>
      </c>
      <c r="E10727" s="5" t="s">
        <v>879</v>
      </c>
    </row>
    <row r="10728" spans="1:5" x14ac:dyDescent="0.25">
      <c r="A10728" s="5">
        <f>10720</f>
      </c>
      <c r="B10728" s="5" t="s">
        <v>9976</v>
      </c>
      <c r="C10728" s="5" t="s">
        <v>11</v>
      </c>
      <c r="D10728" s="5" t="s">
        <v>12</v>
      </c>
      <c r="E10728" s="5" t="s">
        <v>879</v>
      </c>
    </row>
    <row r="10729" spans="1:5" x14ac:dyDescent="0.25">
      <c r="A10729" s="5">
        <f>10721</f>
      </c>
      <c r="B10729" s="5" t="s">
        <v>9977</v>
      </c>
      <c r="C10729" s="5" t="s">
        <v>11</v>
      </c>
      <c r="D10729" s="5" t="s">
        <v>12</v>
      </c>
      <c r="E10729" s="5" t="s">
        <v>879</v>
      </c>
    </row>
    <row r="10730" spans="1:5" x14ac:dyDescent="0.25">
      <c r="A10730" s="5">
        <f>10722</f>
      </c>
      <c r="B10730" s="5" t="s">
        <v>9978</v>
      </c>
      <c r="C10730" s="5" t="s">
        <v>11</v>
      </c>
      <c r="D10730" s="5" t="s">
        <v>12</v>
      </c>
      <c r="E10730" s="5" t="s">
        <v>879</v>
      </c>
    </row>
    <row r="10731" spans="1:5" x14ac:dyDescent="0.25">
      <c r="A10731" s="5">
        <f>10723</f>
      </c>
      <c r="B10731" s="5" t="s">
        <v>9979</v>
      </c>
      <c r="C10731" s="5" t="s">
        <v>11</v>
      </c>
      <c r="D10731" s="5" t="s">
        <v>12</v>
      </c>
      <c r="E10731" s="5" t="s">
        <v>879</v>
      </c>
    </row>
    <row r="10732" spans="1:5" x14ac:dyDescent="0.25">
      <c r="A10732" s="5">
        <f>10724</f>
      </c>
      <c r="B10732" s="5" t="s">
        <v>9980</v>
      </c>
      <c r="C10732" s="5" t="s">
        <v>11</v>
      </c>
      <c r="D10732" s="5" t="s">
        <v>12</v>
      </c>
      <c r="E10732" s="5" t="s">
        <v>879</v>
      </c>
    </row>
    <row r="10733" spans="1:5" x14ac:dyDescent="0.25">
      <c r="A10733" s="5">
        <f>10725</f>
      </c>
      <c r="B10733" s="5" t="s">
        <v>9981</v>
      </c>
      <c r="C10733" s="5" t="s">
        <v>11</v>
      </c>
      <c r="D10733" s="5" t="s">
        <v>12</v>
      </c>
      <c r="E10733" s="5" t="s">
        <v>879</v>
      </c>
    </row>
    <row r="10734" spans="1:5" x14ac:dyDescent="0.25">
      <c r="A10734" s="5">
        <f>10726</f>
      </c>
      <c r="B10734" s="5" t="s">
        <v>9982</v>
      </c>
      <c r="C10734" s="5" t="s">
        <v>11</v>
      </c>
      <c r="D10734" s="5" t="s">
        <v>12</v>
      </c>
      <c r="E10734" s="5" t="s">
        <v>879</v>
      </c>
    </row>
    <row r="10735" spans="1:5" x14ac:dyDescent="0.25">
      <c r="A10735" s="5">
        <f>10727</f>
      </c>
      <c r="B10735" s="5" t="s">
        <v>9983</v>
      </c>
      <c r="C10735" s="5" t="s">
        <v>11</v>
      </c>
      <c r="D10735" s="5" t="s">
        <v>12</v>
      </c>
      <c r="E10735" s="5" t="s">
        <v>879</v>
      </c>
    </row>
    <row r="10736" spans="1:5" x14ac:dyDescent="0.25">
      <c r="A10736" s="5">
        <f>10728</f>
      </c>
      <c r="B10736" s="5" t="s">
        <v>9984</v>
      </c>
      <c r="C10736" s="5" t="s">
        <v>11</v>
      </c>
      <c r="D10736" s="5" t="s">
        <v>12</v>
      </c>
      <c r="E10736" s="5" t="s">
        <v>879</v>
      </c>
    </row>
    <row r="10737" spans="1:5" x14ac:dyDescent="0.25">
      <c r="A10737" s="5">
        <f>10729</f>
      </c>
      <c r="B10737" s="5" t="s">
        <v>9985</v>
      </c>
      <c r="C10737" s="5" t="s">
        <v>11</v>
      </c>
      <c r="D10737" s="5" t="s">
        <v>12</v>
      </c>
      <c r="E10737" s="5" t="s">
        <v>879</v>
      </c>
    </row>
    <row r="10738" spans="1:5" x14ac:dyDescent="0.25">
      <c r="A10738" s="5">
        <f>10730</f>
      </c>
      <c r="B10738" s="5" t="s">
        <v>9986</v>
      </c>
      <c r="C10738" s="5" t="s">
        <v>11</v>
      </c>
      <c r="D10738" s="5" t="s">
        <v>12</v>
      </c>
      <c r="E10738" s="5" t="s">
        <v>879</v>
      </c>
    </row>
    <row r="10739" spans="1:5" x14ac:dyDescent="0.25">
      <c r="A10739" s="5">
        <f>10731</f>
      </c>
      <c r="B10739" s="5" t="s">
        <v>9987</v>
      </c>
      <c r="C10739" s="5" t="s">
        <v>11</v>
      </c>
      <c r="D10739" s="5" t="s">
        <v>12</v>
      </c>
      <c r="E10739" s="5" t="s">
        <v>879</v>
      </c>
    </row>
    <row r="10740" spans="1:5" x14ac:dyDescent="0.25">
      <c r="A10740" s="5">
        <f>10732</f>
      </c>
      <c r="B10740" s="5" t="s">
        <v>9988</v>
      </c>
      <c r="C10740" s="5" t="s">
        <v>11</v>
      </c>
      <c r="D10740" s="5" t="s">
        <v>12</v>
      </c>
      <c r="E10740" s="5" t="s">
        <v>879</v>
      </c>
    </row>
    <row r="10741" spans="1:5" x14ac:dyDescent="0.25">
      <c r="A10741" s="5">
        <f>10733</f>
      </c>
      <c r="B10741" s="5" t="s">
        <v>9989</v>
      </c>
      <c r="C10741" s="5" t="s">
        <v>11</v>
      </c>
      <c r="D10741" s="5" t="s">
        <v>12</v>
      </c>
      <c r="E10741" s="5" t="s">
        <v>879</v>
      </c>
    </row>
    <row r="10742" spans="1:5" x14ac:dyDescent="0.25">
      <c r="A10742" s="5">
        <f>10734</f>
      </c>
      <c r="B10742" s="5" t="s">
        <v>9990</v>
      </c>
      <c r="C10742" s="5" t="s">
        <v>11</v>
      </c>
      <c r="D10742" s="5" t="s">
        <v>12</v>
      </c>
      <c r="E10742" s="5" t="s">
        <v>879</v>
      </c>
    </row>
    <row r="10743" spans="1:5" x14ac:dyDescent="0.25">
      <c r="A10743" s="5">
        <f>10735</f>
      </c>
      <c r="B10743" s="5" t="s">
        <v>9991</v>
      </c>
      <c r="C10743" s="5" t="s">
        <v>11</v>
      </c>
      <c r="D10743" s="5" t="s">
        <v>12</v>
      </c>
      <c r="E10743" s="5" t="s">
        <v>879</v>
      </c>
    </row>
    <row r="10744" spans="1:5" x14ac:dyDescent="0.25">
      <c r="A10744" s="5">
        <f>10736</f>
      </c>
      <c r="B10744" s="5" t="s">
        <v>9992</v>
      </c>
      <c r="C10744" s="5" t="s">
        <v>11</v>
      </c>
      <c r="D10744" s="5" t="s">
        <v>12</v>
      </c>
      <c r="E10744" s="5" t="s">
        <v>879</v>
      </c>
    </row>
    <row r="10745" spans="1:5" x14ac:dyDescent="0.25">
      <c r="A10745" s="5">
        <f>10737</f>
      </c>
      <c r="B10745" s="5" t="s">
        <v>9993</v>
      </c>
      <c r="C10745" s="5" t="s">
        <v>11</v>
      </c>
      <c r="D10745" s="5" t="s">
        <v>12</v>
      </c>
      <c r="E10745" s="5" t="s">
        <v>879</v>
      </c>
    </row>
    <row r="10746" spans="1:5" x14ac:dyDescent="0.25">
      <c r="A10746" s="5">
        <f>10738</f>
      </c>
      <c r="B10746" s="5" t="s">
        <v>9994</v>
      </c>
      <c r="C10746" s="5" t="s">
        <v>11</v>
      </c>
      <c r="D10746" s="5" t="s">
        <v>12</v>
      </c>
      <c r="E10746" s="5" t="s">
        <v>879</v>
      </c>
    </row>
    <row r="10747" spans="1:5" x14ac:dyDescent="0.25">
      <c r="A10747" s="5">
        <f>10739</f>
      </c>
      <c r="B10747" s="5" t="s">
        <v>9995</v>
      </c>
      <c r="C10747" s="5" t="s">
        <v>11</v>
      </c>
      <c r="D10747" s="5" t="s">
        <v>12</v>
      </c>
      <c r="E10747" s="5" t="s">
        <v>879</v>
      </c>
    </row>
    <row r="10748" spans="1:5" x14ac:dyDescent="0.25">
      <c r="A10748" s="5">
        <f>10740</f>
      </c>
      <c r="B10748" s="5" t="s">
        <v>9996</v>
      </c>
      <c r="C10748" s="5" t="s">
        <v>11</v>
      </c>
      <c r="D10748" s="5" t="s">
        <v>12</v>
      </c>
      <c r="E10748" s="5" t="s">
        <v>879</v>
      </c>
    </row>
    <row r="10749" spans="1:5" x14ac:dyDescent="0.25">
      <c r="A10749" s="5">
        <f>10741</f>
      </c>
      <c r="B10749" s="5" t="s">
        <v>9997</v>
      </c>
      <c r="C10749" s="5" t="s">
        <v>11</v>
      </c>
      <c r="D10749" s="5" t="s">
        <v>12</v>
      </c>
      <c r="E10749" s="5" t="s">
        <v>879</v>
      </c>
    </row>
    <row r="10750" spans="1:5" x14ac:dyDescent="0.25">
      <c r="A10750" s="5">
        <f>10742</f>
      </c>
      <c r="B10750" s="5" t="s">
        <v>9998</v>
      </c>
      <c r="C10750" s="5" t="s">
        <v>11</v>
      </c>
      <c r="D10750" s="5" t="s">
        <v>12</v>
      </c>
      <c r="E10750" s="5" t="s">
        <v>2341</v>
      </c>
    </row>
    <row r="10751" spans="1:5" x14ac:dyDescent="0.25">
      <c r="A10751" s="5">
        <f>10743</f>
      </c>
      <c r="B10751" s="5" t="s">
        <v>9999</v>
      </c>
      <c r="C10751" s="5" t="s">
        <v>11</v>
      </c>
      <c r="D10751" s="5" t="s">
        <v>12</v>
      </c>
      <c r="E10751" s="5" t="s">
        <v>2341</v>
      </c>
    </row>
    <row r="10752" spans="1:5" x14ac:dyDescent="0.25">
      <c r="A10752" s="5">
        <f>10744</f>
      </c>
      <c r="B10752" s="5" t="s">
        <v>10000</v>
      </c>
      <c r="C10752" s="5" t="s">
        <v>11</v>
      </c>
      <c r="D10752" s="5" t="s">
        <v>12</v>
      </c>
      <c r="E10752" s="5" t="s">
        <v>2341</v>
      </c>
    </row>
    <row r="10753" spans="1:5" x14ac:dyDescent="0.25">
      <c r="A10753" s="5">
        <f>10745</f>
      </c>
      <c r="B10753" s="5" t="s">
        <v>10001</v>
      </c>
      <c r="C10753" s="5" t="s">
        <v>11</v>
      </c>
      <c r="D10753" s="5" t="s">
        <v>12</v>
      </c>
      <c r="E10753" s="5" t="s">
        <v>2341</v>
      </c>
    </row>
    <row r="10754" spans="1:5" x14ac:dyDescent="0.25">
      <c r="A10754" s="5">
        <f>10746</f>
      </c>
      <c r="B10754" s="5" t="s">
        <v>10002</v>
      </c>
      <c r="C10754" s="5" t="s">
        <v>11</v>
      </c>
      <c r="D10754" s="5" t="s">
        <v>12</v>
      </c>
      <c r="E10754" s="5" t="s">
        <v>2341</v>
      </c>
    </row>
    <row r="10755" spans="1:5" x14ac:dyDescent="0.25">
      <c r="A10755" s="5">
        <f>10747</f>
      </c>
      <c r="B10755" s="5" t="s">
        <v>10003</v>
      </c>
      <c r="C10755" s="5" t="s">
        <v>11</v>
      </c>
      <c r="D10755" s="5" t="s">
        <v>12</v>
      </c>
      <c r="E10755" s="5" t="s">
        <v>2341</v>
      </c>
    </row>
    <row r="10756" spans="1:5" x14ac:dyDescent="0.25">
      <c r="A10756" s="5">
        <f>10748</f>
      </c>
      <c r="B10756" s="5" t="s">
        <v>10004</v>
      </c>
      <c r="C10756" s="5" t="s">
        <v>11</v>
      </c>
      <c r="D10756" s="5" t="s">
        <v>12</v>
      </c>
      <c r="E10756" s="5" t="s">
        <v>2341</v>
      </c>
    </row>
    <row r="10757" spans="1:5" x14ac:dyDescent="0.25">
      <c r="A10757" s="5">
        <f>10749</f>
      </c>
      <c r="B10757" s="5" t="s">
        <v>10005</v>
      </c>
      <c r="C10757" s="5" t="s">
        <v>11</v>
      </c>
      <c r="D10757" s="5" t="s">
        <v>12</v>
      </c>
      <c r="E10757" s="5" t="s">
        <v>2341</v>
      </c>
    </row>
    <row r="10758" spans="1:5" x14ac:dyDescent="0.25">
      <c r="A10758" s="5">
        <f>10750</f>
      </c>
      <c r="B10758" s="5" t="s">
        <v>10006</v>
      </c>
      <c r="C10758" s="5" t="s">
        <v>11</v>
      </c>
      <c r="D10758" s="5" t="s">
        <v>12</v>
      </c>
      <c r="E10758" s="5" t="s">
        <v>2341</v>
      </c>
    </row>
    <row r="10759" spans="1:5" x14ac:dyDescent="0.25">
      <c r="A10759" s="5">
        <f>10751</f>
      </c>
      <c r="B10759" s="5" t="s">
        <v>10007</v>
      </c>
      <c r="C10759" s="5" t="s">
        <v>11</v>
      </c>
      <c r="D10759" s="5" t="s">
        <v>12</v>
      </c>
      <c r="E10759" s="5" t="s">
        <v>2341</v>
      </c>
    </row>
    <row r="10760" spans="1:5" x14ac:dyDescent="0.25">
      <c r="A10760" s="5">
        <f>10752</f>
      </c>
      <c r="B10760" s="5" t="s">
        <v>10008</v>
      </c>
      <c r="C10760" s="5" t="s">
        <v>11</v>
      </c>
      <c r="D10760" s="5" t="s">
        <v>12</v>
      </c>
      <c r="E10760" s="5" t="s">
        <v>2341</v>
      </c>
    </row>
    <row r="10761" spans="1:5" x14ac:dyDescent="0.25">
      <c r="A10761" s="5">
        <f>10753</f>
      </c>
      <c r="B10761" s="5" t="s">
        <v>10009</v>
      </c>
      <c r="C10761" s="5" t="s">
        <v>11</v>
      </c>
      <c r="D10761" s="5" t="s">
        <v>12</v>
      </c>
      <c r="E10761" s="5" t="s">
        <v>2341</v>
      </c>
    </row>
    <row r="10762" spans="1:5" x14ac:dyDescent="0.25">
      <c r="A10762" s="5">
        <f>10754</f>
      </c>
      <c r="B10762" s="5" t="s">
        <v>10010</v>
      </c>
      <c r="C10762" s="5" t="s">
        <v>11</v>
      </c>
      <c r="D10762" s="5" t="s">
        <v>12</v>
      </c>
      <c r="E10762" s="5" t="s">
        <v>2341</v>
      </c>
    </row>
    <row r="10763" spans="1:5" x14ac:dyDescent="0.25">
      <c r="A10763" s="5">
        <f>10755</f>
      </c>
      <c r="B10763" s="5" t="s">
        <v>10011</v>
      </c>
      <c r="C10763" s="5" t="s">
        <v>11</v>
      </c>
      <c r="D10763" s="5" t="s">
        <v>12</v>
      </c>
      <c r="E10763" s="5" t="s">
        <v>2341</v>
      </c>
    </row>
    <row r="10764" spans="1:5" x14ac:dyDescent="0.25">
      <c r="A10764" s="5">
        <f>10756</f>
      </c>
      <c r="B10764" s="5" t="s">
        <v>10012</v>
      </c>
      <c r="C10764" s="5" t="s">
        <v>11</v>
      </c>
      <c r="D10764" s="5" t="s">
        <v>12</v>
      </c>
      <c r="E10764" s="5" t="s">
        <v>2341</v>
      </c>
    </row>
    <row r="10765" spans="1:5" x14ac:dyDescent="0.25">
      <c r="A10765" s="5">
        <f>10757</f>
      </c>
      <c r="B10765" s="5" t="s">
        <v>10013</v>
      </c>
      <c r="C10765" s="5" t="s">
        <v>11</v>
      </c>
      <c r="D10765" s="5" t="s">
        <v>12</v>
      </c>
      <c r="E10765" s="5" t="s">
        <v>2341</v>
      </c>
    </row>
    <row r="10766" spans="1:5" x14ac:dyDescent="0.25">
      <c r="A10766" s="5">
        <f>10758</f>
      </c>
      <c r="B10766" s="5" t="s">
        <v>10014</v>
      </c>
      <c r="C10766" s="5" t="s">
        <v>11</v>
      </c>
      <c r="D10766" s="5" t="s">
        <v>12</v>
      </c>
      <c r="E10766" s="5" t="s">
        <v>2341</v>
      </c>
    </row>
    <row r="10767" spans="1:5" x14ac:dyDescent="0.25">
      <c r="A10767" s="5">
        <f>10759</f>
      </c>
      <c r="B10767" s="5" t="s">
        <v>10015</v>
      </c>
      <c r="C10767" s="5" t="s">
        <v>11</v>
      </c>
      <c r="D10767" s="5" t="s">
        <v>12</v>
      </c>
      <c r="E10767" s="5" t="s">
        <v>2341</v>
      </c>
    </row>
    <row r="10768" spans="1:5" x14ac:dyDescent="0.25">
      <c r="A10768" s="5">
        <f>10760</f>
      </c>
      <c r="B10768" s="5" t="s">
        <v>10016</v>
      </c>
      <c r="C10768" s="5" t="s">
        <v>11</v>
      </c>
      <c r="D10768" s="5" t="s">
        <v>12</v>
      </c>
      <c r="E10768" s="5" t="s">
        <v>2341</v>
      </c>
    </row>
    <row r="10769" spans="1:5" x14ac:dyDescent="0.25">
      <c r="A10769" s="5">
        <f>10761</f>
      </c>
      <c r="B10769" s="5" t="s">
        <v>10017</v>
      </c>
      <c r="C10769" s="5" t="s">
        <v>11</v>
      </c>
      <c r="D10769" s="5" t="s">
        <v>12</v>
      </c>
      <c r="E10769" s="5" t="s">
        <v>2341</v>
      </c>
    </row>
    <row r="10770" spans="1:5" x14ac:dyDescent="0.25">
      <c r="A10770" s="5">
        <f>10762</f>
      </c>
      <c r="B10770" s="5" t="s">
        <v>10018</v>
      </c>
      <c r="C10770" s="5" t="s">
        <v>11</v>
      </c>
      <c r="D10770" s="5" t="s">
        <v>12</v>
      </c>
      <c r="E10770" s="5" t="s">
        <v>2341</v>
      </c>
    </row>
    <row r="10771" spans="1:5" x14ac:dyDescent="0.25">
      <c r="A10771" s="5">
        <f>10763</f>
      </c>
      <c r="B10771" s="5" t="s">
        <v>10019</v>
      </c>
      <c r="C10771" s="5" t="s">
        <v>11</v>
      </c>
      <c r="D10771" s="5" t="s">
        <v>12</v>
      </c>
      <c r="E10771" s="5" t="s">
        <v>2341</v>
      </c>
    </row>
    <row r="10772" spans="1:5" x14ac:dyDescent="0.25">
      <c r="A10772" s="5">
        <f>10764</f>
      </c>
      <c r="B10772" s="5" t="s">
        <v>10020</v>
      </c>
      <c r="C10772" s="5" t="s">
        <v>11</v>
      </c>
      <c r="D10772" s="5" t="s">
        <v>12</v>
      </c>
      <c r="E10772" s="5" t="s">
        <v>2341</v>
      </c>
    </row>
    <row r="10773" spans="1:5" x14ac:dyDescent="0.25">
      <c r="A10773" s="5">
        <f>10765</f>
      </c>
      <c r="B10773" s="5" t="s">
        <v>10021</v>
      </c>
      <c r="C10773" s="5" t="s">
        <v>11</v>
      </c>
      <c r="D10773" s="5" t="s">
        <v>12</v>
      </c>
      <c r="E10773" s="5" t="s">
        <v>2341</v>
      </c>
    </row>
    <row r="10774" spans="1:5" x14ac:dyDescent="0.25">
      <c r="A10774" s="5">
        <f>10766</f>
      </c>
      <c r="B10774" s="5" t="s">
        <v>10022</v>
      </c>
      <c r="C10774" s="5" t="s">
        <v>11</v>
      </c>
      <c r="D10774" s="5" t="s">
        <v>12</v>
      </c>
      <c r="E10774" s="5" t="s">
        <v>2341</v>
      </c>
    </row>
    <row r="10775" spans="1:5" x14ac:dyDescent="0.25">
      <c r="A10775" s="5">
        <f>10767</f>
      </c>
      <c r="B10775" s="5" t="s">
        <v>10023</v>
      </c>
      <c r="C10775" s="5" t="s">
        <v>11</v>
      </c>
      <c r="D10775" s="5" t="s">
        <v>12</v>
      </c>
      <c r="E10775" s="5" t="s">
        <v>2341</v>
      </c>
    </row>
    <row r="10776" spans="1:5" x14ac:dyDescent="0.25">
      <c r="A10776" s="5">
        <f>10768</f>
      </c>
      <c r="B10776" s="5" t="s">
        <v>10024</v>
      </c>
      <c r="C10776" s="5" t="s">
        <v>11</v>
      </c>
      <c r="D10776" s="5" t="s">
        <v>12</v>
      </c>
      <c r="E10776" s="5" t="s">
        <v>2341</v>
      </c>
    </row>
    <row r="10777" spans="1:5" x14ac:dyDescent="0.25">
      <c r="A10777" s="5">
        <f>10769</f>
      </c>
      <c r="B10777" s="5" t="s">
        <v>10025</v>
      </c>
      <c r="C10777" s="5" t="s">
        <v>11</v>
      </c>
      <c r="D10777" s="5" t="s">
        <v>12</v>
      </c>
      <c r="E10777" s="5" t="s">
        <v>2341</v>
      </c>
    </row>
    <row r="10778" spans="1:5" x14ac:dyDescent="0.25">
      <c r="A10778" s="5">
        <f>10770</f>
      </c>
      <c r="B10778" s="5" t="s">
        <v>10026</v>
      </c>
      <c r="C10778" s="5" t="s">
        <v>11</v>
      </c>
      <c r="D10778" s="5" t="s">
        <v>12</v>
      </c>
      <c r="E10778" s="5" t="s">
        <v>2341</v>
      </c>
    </row>
    <row r="10779" spans="1:5" x14ac:dyDescent="0.25">
      <c r="A10779" s="5">
        <f>10771</f>
      </c>
      <c r="B10779" s="5" t="s">
        <v>10027</v>
      </c>
      <c r="C10779" s="5" t="s">
        <v>11</v>
      </c>
      <c r="D10779" s="5" t="s">
        <v>12</v>
      </c>
      <c r="E10779" s="5" t="s">
        <v>2341</v>
      </c>
    </row>
    <row r="10780" spans="1:5" x14ac:dyDescent="0.25">
      <c r="A10780" s="5">
        <f>10772</f>
      </c>
      <c r="B10780" s="5" t="s">
        <v>10028</v>
      </c>
      <c r="C10780" s="5" t="s">
        <v>11</v>
      </c>
      <c r="D10780" s="5" t="s">
        <v>12</v>
      </c>
      <c r="E10780" s="5" t="s">
        <v>2341</v>
      </c>
    </row>
    <row r="10781" spans="1:5" x14ac:dyDescent="0.25">
      <c r="A10781" s="5">
        <f>10773</f>
      </c>
      <c r="B10781" s="5" t="s">
        <v>10029</v>
      </c>
      <c r="C10781" s="5" t="s">
        <v>11</v>
      </c>
      <c r="D10781" s="5" t="s">
        <v>12</v>
      </c>
      <c r="E10781" s="5" t="s">
        <v>2341</v>
      </c>
    </row>
    <row r="10782" spans="1:5" x14ac:dyDescent="0.25">
      <c r="A10782" s="5">
        <f>10774</f>
      </c>
      <c r="B10782" s="5" t="s">
        <v>10030</v>
      </c>
      <c r="C10782" s="5" t="s">
        <v>11</v>
      </c>
      <c r="D10782" s="5" t="s">
        <v>12</v>
      </c>
      <c r="E10782" s="5" t="s">
        <v>2341</v>
      </c>
    </row>
    <row r="10783" spans="1:5" x14ac:dyDescent="0.25">
      <c r="A10783" s="5">
        <f>10775</f>
      </c>
      <c r="B10783" s="5" t="s">
        <v>10031</v>
      </c>
      <c r="C10783" s="5" t="s">
        <v>11</v>
      </c>
      <c r="D10783" s="5" t="s">
        <v>12</v>
      </c>
      <c r="E10783" s="5" t="s">
        <v>2341</v>
      </c>
    </row>
    <row r="10784" spans="1:5" x14ac:dyDescent="0.25">
      <c r="A10784" s="5">
        <f>10776</f>
      </c>
      <c r="B10784" s="5" t="s">
        <v>10032</v>
      </c>
      <c r="C10784" s="5" t="s">
        <v>11</v>
      </c>
      <c r="D10784" s="5" t="s">
        <v>12</v>
      </c>
      <c r="E10784" s="5" t="s">
        <v>2341</v>
      </c>
    </row>
    <row r="10785" spans="1:5" x14ac:dyDescent="0.25">
      <c r="A10785" s="5">
        <f>10777</f>
      </c>
      <c r="B10785" s="5" t="s">
        <v>10033</v>
      </c>
      <c r="C10785" s="5" t="s">
        <v>11</v>
      </c>
      <c r="D10785" s="5" t="s">
        <v>12</v>
      </c>
      <c r="E10785" s="5" t="s">
        <v>2341</v>
      </c>
    </row>
    <row r="10786" spans="1:5" x14ac:dyDescent="0.25">
      <c r="A10786" s="5">
        <f>10778</f>
      </c>
      <c r="B10786" s="5" t="s">
        <v>10034</v>
      </c>
      <c r="C10786" s="5" t="s">
        <v>11</v>
      </c>
      <c r="D10786" s="5" t="s">
        <v>12</v>
      </c>
      <c r="E10786" s="5" t="s">
        <v>2341</v>
      </c>
    </row>
    <row r="10787" spans="1:5" x14ac:dyDescent="0.25">
      <c r="A10787" s="5">
        <f>10779</f>
      </c>
      <c r="B10787" s="5" t="s">
        <v>10035</v>
      </c>
      <c r="C10787" s="5" t="s">
        <v>11</v>
      </c>
      <c r="D10787" s="5" t="s">
        <v>12</v>
      </c>
      <c r="E10787" s="5" t="s">
        <v>2341</v>
      </c>
    </row>
    <row r="10788" spans="1:5" x14ac:dyDescent="0.25">
      <c r="A10788" s="5">
        <f>10780</f>
      </c>
      <c r="B10788" s="5" t="s">
        <v>10036</v>
      </c>
      <c r="C10788" s="5" t="s">
        <v>11</v>
      </c>
      <c r="D10788" s="5" t="s">
        <v>12</v>
      </c>
      <c r="E10788" s="5" t="s">
        <v>2341</v>
      </c>
    </row>
    <row r="10789" spans="1:5" x14ac:dyDescent="0.25">
      <c r="A10789" s="5">
        <f>10781</f>
      </c>
      <c r="B10789" s="5" t="s">
        <v>10037</v>
      </c>
      <c r="C10789" s="5" t="s">
        <v>11</v>
      </c>
      <c r="D10789" s="5" t="s">
        <v>12</v>
      </c>
      <c r="E10789" s="5" t="s">
        <v>2341</v>
      </c>
    </row>
    <row r="10790" spans="1:5" x14ac:dyDescent="0.25">
      <c r="A10790" s="5">
        <f>10782</f>
      </c>
      <c r="B10790" s="5" t="s">
        <v>10038</v>
      </c>
      <c r="C10790" s="5" t="s">
        <v>11</v>
      </c>
      <c r="D10790" s="5" t="s">
        <v>12</v>
      </c>
      <c r="E10790" s="5" t="s">
        <v>2341</v>
      </c>
    </row>
    <row r="10791" spans="1:5" x14ac:dyDescent="0.25">
      <c r="A10791" s="5">
        <f>10783</f>
      </c>
      <c r="B10791" s="5" t="s">
        <v>10039</v>
      </c>
      <c r="C10791" s="5" t="s">
        <v>11</v>
      </c>
      <c r="D10791" s="5" t="s">
        <v>12</v>
      </c>
      <c r="E10791" s="5" t="s">
        <v>2341</v>
      </c>
    </row>
    <row r="10792" spans="1:5" x14ac:dyDescent="0.25">
      <c r="A10792" s="5">
        <f>10784</f>
      </c>
      <c r="B10792" s="5" t="s">
        <v>10040</v>
      </c>
      <c r="C10792" s="5" t="s">
        <v>11</v>
      </c>
      <c r="D10792" s="5" t="s">
        <v>12</v>
      </c>
      <c r="E10792" s="5" t="s">
        <v>2341</v>
      </c>
    </row>
    <row r="10793" spans="1:5" x14ac:dyDescent="0.25">
      <c r="A10793" s="5">
        <f>10785</f>
      </c>
      <c r="B10793" s="5" t="s">
        <v>10041</v>
      </c>
      <c r="C10793" s="5" t="s">
        <v>11</v>
      </c>
      <c r="D10793" s="5" t="s">
        <v>12</v>
      </c>
      <c r="E10793" s="5" t="s">
        <v>2341</v>
      </c>
    </row>
    <row r="10794" spans="1:5" x14ac:dyDescent="0.25">
      <c r="A10794" s="5">
        <f>10786</f>
      </c>
      <c r="B10794" s="5" t="s">
        <v>10042</v>
      </c>
      <c r="C10794" s="5" t="s">
        <v>11</v>
      </c>
      <c r="D10794" s="5" t="s">
        <v>12</v>
      </c>
      <c r="E10794" s="5" t="s">
        <v>2341</v>
      </c>
    </row>
    <row r="10795" spans="1:5" x14ac:dyDescent="0.25">
      <c r="A10795" s="5">
        <f>10787</f>
      </c>
      <c r="B10795" s="5" t="s">
        <v>10043</v>
      </c>
      <c r="C10795" s="5" t="s">
        <v>11</v>
      </c>
      <c r="D10795" s="5" t="s">
        <v>12</v>
      </c>
      <c r="E10795" s="5" t="s">
        <v>2341</v>
      </c>
    </row>
    <row r="10796" spans="1:5" x14ac:dyDescent="0.25">
      <c r="A10796" s="5">
        <f>10788</f>
      </c>
      <c r="B10796" s="5" t="s">
        <v>10044</v>
      </c>
      <c r="C10796" s="5" t="s">
        <v>11</v>
      </c>
      <c r="D10796" s="5" t="s">
        <v>12</v>
      </c>
      <c r="E10796" s="5" t="s">
        <v>2341</v>
      </c>
    </row>
    <row r="10797" spans="1:5" x14ac:dyDescent="0.25">
      <c r="A10797" s="5">
        <f>10789</f>
      </c>
      <c r="B10797" s="5" t="s">
        <v>10045</v>
      </c>
      <c r="C10797" s="5" t="s">
        <v>11</v>
      </c>
      <c r="D10797" s="5" t="s">
        <v>12</v>
      </c>
      <c r="E10797" s="5" t="s">
        <v>2341</v>
      </c>
    </row>
    <row r="10798" spans="1:5" x14ac:dyDescent="0.25">
      <c r="A10798" s="5">
        <f>10790</f>
      </c>
      <c r="B10798" s="5" t="s">
        <v>10046</v>
      </c>
      <c r="C10798" s="5" t="s">
        <v>11</v>
      </c>
      <c r="D10798" s="5" t="s">
        <v>12</v>
      </c>
      <c r="E10798" s="5" t="s">
        <v>2341</v>
      </c>
    </row>
    <row r="10799" spans="1:5" x14ac:dyDescent="0.25">
      <c r="A10799" s="5">
        <f>10791</f>
      </c>
      <c r="B10799" s="5" t="s">
        <v>10047</v>
      </c>
      <c r="C10799" s="5" t="s">
        <v>11</v>
      </c>
      <c r="D10799" s="5" t="s">
        <v>12</v>
      </c>
      <c r="E10799" s="5" t="s">
        <v>2341</v>
      </c>
    </row>
    <row r="10800" spans="1:5" x14ac:dyDescent="0.25">
      <c r="A10800" s="5">
        <f>10792</f>
      </c>
      <c r="B10800" s="5" t="s">
        <v>10048</v>
      </c>
      <c r="C10800" s="5" t="s">
        <v>11</v>
      </c>
      <c r="D10800" s="5" t="s">
        <v>12</v>
      </c>
      <c r="E10800" s="5" t="s">
        <v>2341</v>
      </c>
    </row>
    <row r="10801" spans="1:5" x14ac:dyDescent="0.25">
      <c r="A10801" s="5">
        <f>10793</f>
      </c>
      <c r="B10801" s="5" t="s">
        <v>10049</v>
      </c>
      <c r="C10801" s="5" t="s">
        <v>11</v>
      </c>
      <c r="D10801" s="5" t="s">
        <v>12</v>
      </c>
      <c r="E10801" s="5" t="s">
        <v>2341</v>
      </c>
    </row>
    <row r="10802" spans="1:5" x14ac:dyDescent="0.25">
      <c r="A10802" s="5">
        <f>10794</f>
      </c>
      <c r="B10802" s="5" t="s">
        <v>10050</v>
      </c>
      <c r="C10802" s="5" t="s">
        <v>11</v>
      </c>
      <c r="D10802" s="5" t="s">
        <v>12</v>
      </c>
      <c r="E10802" s="5" t="s">
        <v>2341</v>
      </c>
    </row>
    <row r="10803" spans="1:5" x14ac:dyDescent="0.25">
      <c r="A10803" s="5">
        <f>10795</f>
      </c>
      <c r="B10803" s="5" t="s">
        <v>10051</v>
      </c>
      <c r="C10803" s="5" t="s">
        <v>11</v>
      </c>
      <c r="D10803" s="5" t="s">
        <v>12</v>
      </c>
      <c r="E10803" s="5" t="s">
        <v>2341</v>
      </c>
    </row>
    <row r="10804" spans="1:5" x14ac:dyDescent="0.25">
      <c r="A10804" s="5">
        <f>10796</f>
      </c>
      <c r="B10804" s="5" t="s">
        <v>10052</v>
      </c>
      <c r="C10804" s="5" t="s">
        <v>11</v>
      </c>
      <c r="D10804" s="5" t="s">
        <v>12</v>
      </c>
      <c r="E10804" s="5" t="s">
        <v>2341</v>
      </c>
    </row>
    <row r="10805" spans="1:5" x14ac:dyDescent="0.25">
      <c r="A10805" s="5">
        <f>10797</f>
      </c>
      <c r="B10805" s="5" t="s">
        <v>10053</v>
      </c>
      <c r="C10805" s="5" t="s">
        <v>11</v>
      </c>
      <c r="D10805" s="5" t="s">
        <v>12</v>
      </c>
      <c r="E10805" s="5" t="s">
        <v>2341</v>
      </c>
    </row>
    <row r="10806" spans="1:5" x14ac:dyDescent="0.25">
      <c r="A10806" s="5">
        <f>10798</f>
      </c>
      <c r="B10806" s="5" t="s">
        <v>10054</v>
      </c>
      <c r="C10806" s="5" t="s">
        <v>11</v>
      </c>
      <c r="D10806" s="5" t="s">
        <v>12</v>
      </c>
      <c r="E10806" s="5" t="s">
        <v>2341</v>
      </c>
    </row>
    <row r="10807" spans="1:5" x14ac:dyDescent="0.25">
      <c r="A10807" s="5">
        <f>10799</f>
      </c>
      <c r="B10807" s="5" t="s">
        <v>10055</v>
      </c>
      <c r="C10807" s="5" t="s">
        <v>11</v>
      </c>
      <c r="D10807" s="5" t="s">
        <v>12</v>
      </c>
      <c r="E10807" s="5" t="s">
        <v>2341</v>
      </c>
    </row>
    <row r="10808" spans="1:5" x14ac:dyDescent="0.25">
      <c r="A10808" s="5">
        <f>10800</f>
      </c>
      <c r="B10808" s="5" t="s">
        <v>10056</v>
      </c>
      <c r="C10808" s="5" t="s">
        <v>11</v>
      </c>
      <c r="D10808" s="5" t="s">
        <v>12</v>
      </c>
      <c r="E10808" s="5" t="s">
        <v>2341</v>
      </c>
    </row>
    <row r="10809" spans="1:5" x14ac:dyDescent="0.25">
      <c r="A10809" s="5">
        <f>10801</f>
      </c>
      <c r="B10809" s="5" t="s">
        <v>10057</v>
      </c>
      <c r="C10809" s="5" t="s">
        <v>11</v>
      </c>
      <c r="D10809" s="5" t="s">
        <v>12</v>
      </c>
      <c r="E10809" s="5" t="s">
        <v>2341</v>
      </c>
    </row>
    <row r="10810" spans="1:5" x14ac:dyDescent="0.25">
      <c r="A10810" s="5">
        <f>10802</f>
      </c>
      <c r="B10810" s="5" t="s">
        <v>10058</v>
      </c>
      <c r="C10810" s="5" t="s">
        <v>11</v>
      </c>
      <c r="D10810" s="5" t="s">
        <v>12</v>
      </c>
      <c r="E10810" s="5" t="s">
        <v>10059</v>
      </c>
    </row>
    <row r="10811" spans="1:5" x14ac:dyDescent="0.25">
      <c r="A10811" s="5">
        <f>10803</f>
      </c>
      <c r="B10811" s="5" t="s">
        <v>10060</v>
      </c>
      <c r="C10811" s="5" t="s">
        <v>11</v>
      </c>
      <c r="D10811" s="5" t="s">
        <v>12</v>
      </c>
      <c r="E10811" s="5" t="s">
        <v>10059</v>
      </c>
    </row>
    <row r="10812" spans="1:5" x14ac:dyDescent="0.25">
      <c r="A10812" s="5">
        <f>10804</f>
      </c>
      <c r="B10812" s="5" t="s">
        <v>10061</v>
      </c>
      <c r="C10812" s="5" t="s">
        <v>11</v>
      </c>
      <c r="D10812" s="5" t="s">
        <v>12</v>
      </c>
      <c r="E10812" s="5" t="s">
        <v>10059</v>
      </c>
    </row>
    <row r="10813" spans="1:5" x14ac:dyDescent="0.25">
      <c r="A10813" s="5">
        <f>10805</f>
      </c>
      <c r="B10813" s="5" t="s">
        <v>10062</v>
      </c>
      <c r="C10813" s="5" t="s">
        <v>11</v>
      </c>
      <c r="D10813" s="5" t="s">
        <v>12</v>
      </c>
      <c r="E10813" s="5" t="s">
        <v>10059</v>
      </c>
    </row>
    <row r="10814" spans="1:5" x14ac:dyDescent="0.25">
      <c r="A10814" s="5">
        <f>10806</f>
      </c>
      <c r="B10814" s="5" t="s">
        <v>10063</v>
      </c>
      <c r="C10814" s="5" t="s">
        <v>11</v>
      </c>
      <c r="D10814" s="5" t="s">
        <v>12</v>
      </c>
      <c r="E10814" s="5" t="s">
        <v>10059</v>
      </c>
    </row>
    <row r="10815" spans="1:5" x14ac:dyDescent="0.25">
      <c r="A10815" s="5">
        <f>10807</f>
      </c>
      <c r="B10815" s="5" t="s">
        <v>10064</v>
      </c>
      <c r="C10815" s="5" t="s">
        <v>11</v>
      </c>
      <c r="D10815" s="5" t="s">
        <v>12</v>
      </c>
      <c r="E10815" s="5" t="s">
        <v>10059</v>
      </c>
    </row>
    <row r="10816" spans="1:5" x14ac:dyDescent="0.25">
      <c r="A10816" s="5">
        <f>10808</f>
      </c>
      <c r="B10816" s="5" t="s">
        <v>10065</v>
      </c>
      <c r="C10816" s="5" t="s">
        <v>11</v>
      </c>
      <c r="D10816" s="5" t="s">
        <v>12</v>
      </c>
      <c r="E10816" s="5" t="s">
        <v>10059</v>
      </c>
    </row>
    <row r="10817" spans="1:5" x14ac:dyDescent="0.25">
      <c r="A10817" s="5">
        <f>10809</f>
      </c>
      <c r="B10817" s="5" t="s">
        <v>10066</v>
      </c>
      <c r="C10817" s="5" t="s">
        <v>11</v>
      </c>
      <c r="D10817" s="5" t="s">
        <v>12</v>
      </c>
      <c r="E10817" s="5" t="s">
        <v>10059</v>
      </c>
    </row>
    <row r="10818" spans="1:5" x14ac:dyDescent="0.25">
      <c r="A10818" s="5">
        <f>10810</f>
      </c>
      <c r="B10818" s="5" t="s">
        <v>10067</v>
      </c>
      <c r="C10818" s="5" t="s">
        <v>11</v>
      </c>
      <c r="D10818" s="5" t="s">
        <v>12</v>
      </c>
      <c r="E10818" s="5" t="s">
        <v>10059</v>
      </c>
    </row>
    <row r="10819" spans="1:5" x14ac:dyDescent="0.25">
      <c r="A10819" s="5">
        <f>10811</f>
      </c>
      <c r="B10819" s="5" t="s">
        <v>10068</v>
      </c>
      <c r="C10819" s="5" t="s">
        <v>11</v>
      </c>
      <c r="D10819" s="5" t="s">
        <v>12</v>
      </c>
      <c r="E10819" s="5" t="s">
        <v>10059</v>
      </c>
    </row>
    <row r="10820" spans="1:5" x14ac:dyDescent="0.25">
      <c r="A10820" s="5">
        <f>10812</f>
      </c>
      <c r="B10820" s="5" t="s">
        <v>10069</v>
      </c>
      <c r="C10820" s="5" t="s">
        <v>11</v>
      </c>
      <c r="D10820" s="5" t="s">
        <v>12</v>
      </c>
      <c r="E10820" s="5" t="s">
        <v>10059</v>
      </c>
    </row>
    <row r="10821" spans="1:5" x14ac:dyDescent="0.25">
      <c r="A10821" s="5">
        <f>10813</f>
      </c>
      <c r="B10821" s="5" t="s">
        <v>10070</v>
      </c>
      <c r="C10821" s="5" t="s">
        <v>11</v>
      </c>
      <c r="D10821" s="5" t="s">
        <v>12</v>
      </c>
      <c r="E10821" s="5" t="s">
        <v>10059</v>
      </c>
    </row>
    <row r="10822" spans="1:5" x14ac:dyDescent="0.25">
      <c r="A10822" s="5">
        <f>10814</f>
      </c>
      <c r="B10822" s="5" t="s">
        <v>10071</v>
      </c>
      <c r="C10822" s="5" t="s">
        <v>11</v>
      </c>
      <c r="D10822" s="5" t="s">
        <v>12</v>
      </c>
      <c r="E10822" s="5" t="s">
        <v>10059</v>
      </c>
    </row>
    <row r="10823" spans="1:5" x14ac:dyDescent="0.25">
      <c r="A10823" s="5">
        <f>10815</f>
      </c>
      <c r="B10823" s="5" t="s">
        <v>10072</v>
      </c>
      <c r="C10823" s="5" t="s">
        <v>11</v>
      </c>
      <c r="D10823" s="5" t="s">
        <v>12</v>
      </c>
      <c r="E10823" s="5" t="s">
        <v>10059</v>
      </c>
    </row>
    <row r="10824" spans="1:5" x14ac:dyDescent="0.25">
      <c r="A10824" s="5">
        <f>10816</f>
      </c>
      <c r="B10824" s="5" t="s">
        <v>10073</v>
      </c>
      <c r="C10824" s="5" t="s">
        <v>11</v>
      </c>
      <c r="D10824" s="5" t="s">
        <v>12</v>
      </c>
      <c r="E10824" s="5" t="s">
        <v>10059</v>
      </c>
    </row>
    <row r="10825" spans="1:5" x14ac:dyDescent="0.25">
      <c r="A10825" s="5">
        <f>10817</f>
      </c>
      <c r="B10825" s="5" t="s">
        <v>10074</v>
      </c>
      <c r="C10825" s="5" t="s">
        <v>11</v>
      </c>
      <c r="D10825" s="5" t="s">
        <v>12</v>
      </c>
      <c r="E10825" s="5" t="s">
        <v>10059</v>
      </c>
    </row>
    <row r="10826" spans="1:5" x14ac:dyDescent="0.25">
      <c r="A10826" s="5">
        <f>10818</f>
      </c>
      <c r="B10826" s="5" t="s">
        <v>10075</v>
      </c>
      <c r="C10826" s="5" t="s">
        <v>11</v>
      </c>
      <c r="D10826" s="5" t="s">
        <v>12</v>
      </c>
      <c r="E10826" s="5" t="s">
        <v>10059</v>
      </c>
    </row>
    <row r="10827" spans="1:5" x14ac:dyDescent="0.25">
      <c r="A10827" s="5">
        <f>10819</f>
      </c>
      <c r="B10827" s="5" t="s">
        <v>10076</v>
      </c>
      <c r="C10827" s="5" t="s">
        <v>11</v>
      </c>
      <c r="D10827" s="5" t="s">
        <v>12</v>
      </c>
      <c r="E10827" s="5" t="s">
        <v>10059</v>
      </c>
    </row>
    <row r="10828" spans="1:5" x14ac:dyDescent="0.25">
      <c r="A10828" s="5">
        <f>10820</f>
      </c>
      <c r="B10828" s="5" t="s">
        <v>10077</v>
      </c>
      <c r="C10828" s="5" t="s">
        <v>11</v>
      </c>
      <c r="D10828" s="5" t="s">
        <v>12</v>
      </c>
      <c r="E10828" s="5" t="s">
        <v>10059</v>
      </c>
    </row>
    <row r="10829" spans="1:5" x14ac:dyDescent="0.25">
      <c r="A10829" s="5">
        <f>10821</f>
      </c>
      <c r="B10829" s="5" t="s">
        <v>10078</v>
      </c>
      <c r="C10829" s="5" t="s">
        <v>11</v>
      </c>
      <c r="D10829" s="5" t="s">
        <v>12</v>
      </c>
      <c r="E10829" s="5" t="s">
        <v>10059</v>
      </c>
    </row>
    <row r="10830" spans="1:5" x14ac:dyDescent="0.25">
      <c r="A10830" s="5">
        <f>10822</f>
      </c>
      <c r="B10830" s="5" t="s">
        <v>10079</v>
      </c>
      <c r="C10830" s="5" t="s">
        <v>11</v>
      </c>
      <c r="D10830" s="5" t="s">
        <v>12</v>
      </c>
      <c r="E10830" s="5" t="s">
        <v>10059</v>
      </c>
    </row>
    <row r="10831" spans="1:5" x14ac:dyDescent="0.25">
      <c r="A10831" s="5">
        <f>10823</f>
      </c>
      <c r="B10831" s="5" t="s">
        <v>10080</v>
      </c>
      <c r="C10831" s="5" t="s">
        <v>11</v>
      </c>
      <c r="D10831" s="5" t="s">
        <v>12</v>
      </c>
      <c r="E10831" s="5" t="s">
        <v>10059</v>
      </c>
    </row>
    <row r="10832" spans="1:5" x14ac:dyDescent="0.25">
      <c r="A10832" s="5">
        <f>10824</f>
      </c>
      <c r="B10832" s="5" t="s">
        <v>10081</v>
      </c>
      <c r="C10832" s="5" t="s">
        <v>11</v>
      </c>
      <c r="D10832" s="5" t="s">
        <v>12</v>
      </c>
      <c r="E10832" s="5" t="s">
        <v>10059</v>
      </c>
    </row>
    <row r="10833" spans="1:5" x14ac:dyDescent="0.25">
      <c r="A10833" s="5">
        <f>10825</f>
      </c>
      <c r="B10833" s="5" t="s">
        <v>10082</v>
      </c>
      <c r="C10833" s="5" t="s">
        <v>11</v>
      </c>
      <c r="D10833" s="5" t="s">
        <v>12</v>
      </c>
      <c r="E10833" s="5" t="s">
        <v>10059</v>
      </c>
    </row>
    <row r="10834" spans="1:5" x14ac:dyDescent="0.25">
      <c r="A10834" s="5">
        <f>10826</f>
      </c>
      <c r="B10834" s="5" t="s">
        <v>10083</v>
      </c>
      <c r="C10834" s="5" t="s">
        <v>11</v>
      </c>
      <c r="D10834" s="5" t="s">
        <v>12</v>
      </c>
      <c r="E10834" s="5" t="s">
        <v>10059</v>
      </c>
    </row>
    <row r="10835" spans="1:5" x14ac:dyDescent="0.25">
      <c r="A10835" s="5">
        <f>10827</f>
      </c>
      <c r="B10835" s="5" t="s">
        <v>10084</v>
      </c>
      <c r="C10835" s="5" t="s">
        <v>11</v>
      </c>
      <c r="D10835" s="5" t="s">
        <v>12</v>
      </c>
      <c r="E10835" s="5" t="s">
        <v>10059</v>
      </c>
    </row>
    <row r="10836" spans="1:5" x14ac:dyDescent="0.25">
      <c r="A10836" s="5">
        <f>10828</f>
      </c>
      <c r="B10836" s="5" t="s">
        <v>10085</v>
      </c>
      <c r="C10836" s="5" t="s">
        <v>11</v>
      </c>
      <c r="D10836" s="5" t="s">
        <v>12</v>
      </c>
      <c r="E10836" s="5" t="s">
        <v>10059</v>
      </c>
    </row>
    <row r="10837" spans="1:5" x14ac:dyDescent="0.25">
      <c r="A10837" s="5">
        <f>10829</f>
      </c>
      <c r="B10837" s="5" t="s">
        <v>10086</v>
      </c>
      <c r="C10837" s="5" t="s">
        <v>11</v>
      </c>
      <c r="D10837" s="5" t="s">
        <v>12</v>
      </c>
      <c r="E10837" s="5" t="s">
        <v>10059</v>
      </c>
    </row>
    <row r="10838" spans="1:5" x14ac:dyDescent="0.25">
      <c r="A10838" s="5">
        <f>10830</f>
      </c>
      <c r="B10838" s="5" t="s">
        <v>10087</v>
      </c>
      <c r="C10838" s="5" t="s">
        <v>11</v>
      </c>
      <c r="D10838" s="5" t="s">
        <v>12</v>
      </c>
      <c r="E10838" s="5" t="s">
        <v>10059</v>
      </c>
    </row>
    <row r="10839" spans="1:5" x14ac:dyDescent="0.25">
      <c r="A10839" s="5">
        <f>10831</f>
      </c>
      <c r="B10839" s="5" t="s">
        <v>10088</v>
      </c>
      <c r="C10839" s="5" t="s">
        <v>11</v>
      </c>
      <c r="D10839" s="5" t="s">
        <v>12</v>
      </c>
      <c r="E10839" s="5" t="s">
        <v>10059</v>
      </c>
    </row>
    <row r="10840" spans="1:5" x14ac:dyDescent="0.25">
      <c r="A10840" s="5">
        <f>10832</f>
      </c>
      <c r="B10840" s="5" t="s">
        <v>10089</v>
      </c>
      <c r="C10840" s="5" t="s">
        <v>11</v>
      </c>
      <c r="D10840" s="5" t="s">
        <v>12</v>
      </c>
      <c r="E10840" s="5" t="s">
        <v>10059</v>
      </c>
    </row>
    <row r="10841" spans="1:5" x14ac:dyDescent="0.25">
      <c r="A10841" s="5">
        <f>10833</f>
      </c>
      <c r="B10841" s="5" t="s">
        <v>10090</v>
      </c>
      <c r="C10841" s="5" t="s">
        <v>11</v>
      </c>
      <c r="D10841" s="5" t="s">
        <v>12</v>
      </c>
      <c r="E10841" s="5" t="s">
        <v>10059</v>
      </c>
    </row>
    <row r="10842" spans="1:5" x14ac:dyDescent="0.25">
      <c r="A10842" s="5">
        <f>10834</f>
      </c>
      <c r="B10842" s="5" t="s">
        <v>10091</v>
      </c>
      <c r="C10842" s="5" t="s">
        <v>11</v>
      </c>
      <c r="D10842" s="5" t="s">
        <v>12</v>
      </c>
      <c r="E10842" s="5" t="s">
        <v>10059</v>
      </c>
    </row>
    <row r="10843" spans="1:5" x14ac:dyDescent="0.25">
      <c r="A10843" s="5">
        <f>10835</f>
      </c>
      <c r="B10843" s="5" t="s">
        <v>10092</v>
      </c>
      <c r="C10843" s="5" t="s">
        <v>11</v>
      </c>
      <c r="D10843" s="5" t="s">
        <v>12</v>
      </c>
      <c r="E10843" s="5" t="s">
        <v>10059</v>
      </c>
    </row>
    <row r="10844" spans="1:5" x14ac:dyDescent="0.25">
      <c r="A10844" s="5">
        <f>10836</f>
      </c>
      <c r="B10844" s="5" t="s">
        <v>10093</v>
      </c>
      <c r="C10844" s="5" t="s">
        <v>11</v>
      </c>
      <c r="D10844" s="5" t="s">
        <v>12</v>
      </c>
      <c r="E10844" s="5" t="s">
        <v>10059</v>
      </c>
    </row>
    <row r="10845" spans="1:5" x14ac:dyDescent="0.25">
      <c r="A10845" s="5">
        <f>10837</f>
      </c>
      <c r="B10845" s="5" t="s">
        <v>10094</v>
      </c>
      <c r="C10845" s="5" t="s">
        <v>11</v>
      </c>
      <c r="D10845" s="5" t="s">
        <v>12</v>
      </c>
      <c r="E10845" s="5" t="s">
        <v>10059</v>
      </c>
    </row>
    <row r="10846" spans="1:5" x14ac:dyDescent="0.25">
      <c r="A10846" s="5">
        <f>10838</f>
      </c>
      <c r="B10846" s="5" t="s">
        <v>10095</v>
      </c>
      <c r="C10846" s="5" t="s">
        <v>11</v>
      </c>
      <c r="D10846" s="5" t="s">
        <v>12</v>
      </c>
      <c r="E10846" s="5" t="s">
        <v>10059</v>
      </c>
    </row>
    <row r="10847" spans="1:5" x14ac:dyDescent="0.25">
      <c r="A10847" s="5">
        <f>10839</f>
      </c>
      <c r="B10847" s="5" t="s">
        <v>10096</v>
      </c>
      <c r="C10847" s="5" t="s">
        <v>11</v>
      </c>
      <c r="D10847" s="5" t="s">
        <v>12</v>
      </c>
      <c r="E10847" s="5" t="s">
        <v>10059</v>
      </c>
    </row>
    <row r="10848" spans="1:5" x14ac:dyDescent="0.25">
      <c r="A10848" s="5">
        <f>10840</f>
      </c>
      <c r="B10848" s="5" t="s">
        <v>10097</v>
      </c>
      <c r="C10848" s="5" t="s">
        <v>11</v>
      </c>
      <c r="D10848" s="5" t="s">
        <v>12</v>
      </c>
      <c r="E10848" s="5" t="s">
        <v>10059</v>
      </c>
    </row>
    <row r="10849" spans="1:5" x14ac:dyDescent="0.25">
      <c r="A10849" s="5">
        <f>10841</f>
      </c>
      <c r="B10849" s="5" t="s">
        <v>10098</v>
      </c>
      <c r="C10849" s="5" t="s">
        <v>11</v>
      </c>
      <c r="D10849" s="5" t="s">
        <v>12</v>
      </c>
      <c r="E10849" s="5" t="s">
        <v>10059</v>
      </c>
    </row>
    <row r="10850" spans="1:5" x14ac:dyDescent="0.25">
      <c r="A10850" s="5">
        <f>10842</f>
      </c>
      <c r="B10850" s="5" t="s">
        <v>10099</v>
      </c>
      <c r="C10850" s="5" t="s">
        <v>11</v>
      </c>
      <c r="D10850" s="5" t="s">
        <v>12</v>
      </c>
      <c r="E10850" s="5" t="s">
        <v>10059</v>
      </c>
    </row>
    <row r="10851" spans="1:5" x14ac:dyDescent="0.25">
      <c r="A10851" s="5">
        <f>10843</f>
      </c>
      <c r="B10851" s="5" t="s">
        <v>10100</v>
      </c>
      <c r="C10851" s="5" t="s">
        <v>11</v>
      </c>
      <c r="D10851" s="5" t="s">
        <v>12</v>
      </c>
      <c r="E10851" s="5" t="s">
        <v>10059</v>
      </c>
    </row>
    <row r="10852" spans="1:5" x14ac:dyDescent="0.25">
      <c r="A10852" s="5">
        <f>10844</f>
      </c>
      <c r="B10852" s="5" t="s">
        <v>10101</v>
      </c>
      <c r="C10852" s="5" t="s">
        <v>11</v>
      </c>
      <c r="D10852" s="5" t="s">
        <v>12</v>
      </c>
      <c r="E10852" s="5" t="s">
        <v>10059</v>
      </c>
    </row>
    <row r="10853" spans="1:5" x14ac:dyDescent="0.25">
      <c r="A10853" s="5">
        <f>10845</f>
      </c>
      <c r="B10853" s="5" t="s">
        <v>10102</v>
      </c>
      <c r="C10853" s="5" t="s">
        <v>11</v>
      </c>
      <c r="D10853" s="5" t="s">
        <v>12</v>
      </c>
      <c r="E10853" s="5" t="s">
        <v>10059</v>
      </c>
    </row>
    <row r="10854" spans="1:5" x14ac:dyDescent="0.25">
      <c r="A10854" s="5">
        <f>10846</f>
      </c>
      <c r="B10854" s="5" t="s">
        <v>10103</v>
      </c>
      <c r="C10854" s="5" t="s">
        <v>11</v>
      </c>
      <c r="D10854" s="5" t="s">
        <v>12</v>
      </c>
      <c r="E10854" s="5" t="s">
        <v>10059</v>
      </c>
    </row>
    <row r="10855" spans="1:5" x14ac:dyDescent="0.25">
      <c r="A10855" s="5">
        <f>10847</f>
      </c>
      <c r="B10855" s="5" t="s">
        <v>10104</v>
      </c>
      <c r="C10855" s="5" t="s">
        <v>11</v>
      </c>
      <c r="D10855" s="5" t="s">
        <v>12</v>
      </c>
      <c r="E10855" s="5" t="s">
        <v>10059</v>
      </c>
    </row>
    <row r="10856" spans="1:5" x14ac:dyDescent="0.25">
      <c r="A10856" s="5">
        <f>10848</f>
      </c>
      <c r="B10856" s="5" t="s">
        <v>10105</v>
      </c>
      <c r="C10856" s="5" t="s">
        <v>11</v>
      </c>
      <c r="D10856" s="5" t="s">
        <v>12</v>
      </c>
      <c r="E10856" s="5" t="s">
        <v>10059</v>
      </c>
    </row>
    <row r="10857" spans="1:5" x14ac:dyDescent="0.25">
      <c r="A10857" s="5">
        <f>10849</f>
      </c>
      <c r="B10857" s="5" t="s">
        <v>10106</v>
      </c>
      <c r="C10857" s="5" t="s">
        <v>11</v>
      </c>
      <c r="D10857" s="5" t="s">
        <v>12</v>
      </c>
      <c r="E10857" s="5" t="s">
        <v>10059</v>
      </c>
    </row>
    <row r="10858" spans="1:5" x14ac:dyDescent="0.25">
      <c r="A10858" s="5">
        <f>10850</f>
      </c>
      <c r="B10858" s="5" t="s">
        <v>10107</v>
      </c>
      <c r="C10858" s="5" t="s">
        <v>11</v>
      </c>
      <c r="D10858" s="5" t="s">
        <v>12</v>
      </c>
      <c r="E10858" s="5" t="s">
        <v>10059</v>
      </c>
    </row>
    <row r="10859" spans="1:5" x14ac:dyDescent="0.25">
      <c r="A10859" s="5">
        <f>10851</f>
      </c>
      <c r="B10859" s="5" t="s">
        <v>10108</v>
      </c>
      <c r="C10859" s="5" t="s">
        <v>11</v>
      </c>
      <c r="D10859" s="5" t="s">
        <v>12</v>
      </c>
      <c r="E10859" s="5" t="s">
        <v>10059</v>
      </c>
    </row>
    <row r="10860" spans="1:5" x14ac:dyDescent="0.25">
      <c r="A10860" s="5">
        <f>10852</f>
      </c>
      <c r="B10860" s="5" t="s">
        <v>10109</v>
      </c>
      <c r="C10860" s="5" t="s">
        <v>11</v>
      </c>
      <c r="D10860" s="5" t="s">
        <v>12</v>
      </c>
      <c r="E10860" s="5" t="s">
        <v>10059</v>
      </c>
    </row>
    <row r="10861" spans="1:5" x14ac:dyDescent="0.25">
      <c r="A10861" s="5">
        <f>10853</f>
      </c>
      <c r="B10861" s="5" t="s">
        <v>10110</v>
      </c>
      <c r="C10861" s="5" t="s">
        <v>11</v>
      </c>
      <c r="D10861" s="5" t="s">
        <v>12</v>
      </c>
      <c r="E10861" s="5" t="s">
        <v>10059</v>
      </c>
    </row>
    <row r="10862" spans="1:5" x14ac:dyDescent="0.25">
      <c r="A10862" s="5">
        <f>10854</f>
      </c>
      <c r="B10862" s="5" t="s">
        <v>10111</v>
      </c>
      <c r="C10862" s="5" t="s">
        <v>11</v>
      </c>
      <c r="D10862" s="5" t="s">
        <v>12</v>
      </c>
      <c r="E10862" s="5" t="s">
        <v>10059</v>
      </c>
    </row>
    <row r="10863" spans="1:5" x14ac:dyDescent="0.25">
      <c r="A10863" s="5">
        <f>10855</f>
      </c>
      <c r="B10863" s="5" t="s">
        <v>10112</v>
      </c>
      <c r="C10863" s="5" t="s">
        <v>11</v>
      </c>
      <c r="D10863" s="5" t="s">
        <v>12</v>
      </c>
      <c r="E10863" s="5" t="s">
        <v>10059</v>
      </c>
    </row>
    <row r="10864" spans="1:5" x14ac:dyDescent="0.25">
      <c r="A10864" s="5">
        <f>10856</f>
      </c>
      <c r="B10864" s="5" t="s">
        <v>10113</v>
      </c>
      <c r="C10864" s="5" t="s">
        <v>11</v>
      </c>
      <c r="D10864" s="5" t="s">
        <v>12</v>
      </c>
      <c r="E10864" s="5" t="s">
        <v>10059</v>
      </c>
    </row>
    <row r="10865" spans="1:5" x14ac:dyDescent="0.25">
      <c r="A10865" s="5">
        <f>10857</f>
      </c>
      <c r="B10865" s="5" t="s">
        <v>10114</v>
      </c>
      <c r="C10865" s="5" t="s">
        <v>11</v>
      </c>
      <c r="D10865" s="5" t="s">
        <v>12</v>
      </c>
      <c r="E10865" s="5" t="s">
        <v>10059</v>
      </c>
    </row>
    <row r="10866" spans="1:5" x14ac:dyDescent="0.25">
      <c r="A10866" s="5">
        <f>10858</f>
      </c>
      <c r="B10866" s="5" t="s">
        <v>10115</v>
      </c>
      <c r="C10866" s="5" t="s">
        <v>11</v>
      </c>
      <c r="D10866" s="5" t="s">
        <v>12</v>
      </c>
      <c r="E10866" s="5" t="s">
        <v>10059</v>
      </c>
    </row>
    <row r="10867" spans="1:5" x14ac:dyDescent="0.25">
      <c r="A10867" s="5">
        <f>10859</f>
      </c>
      <c r="B10867" s="5" t="s">
        <v>10116</v>
      </c>
      <c r="C10867" s="5" t="s">
        <v>11</v>
      </c>
      <c r="D10867" s="5" t="s">
        <v>12</v>
      </c>
      <c r="E10867" s="5" t="s">
        <v>10059</v>
      </c>
    </row>
    <row r="10868" spans="1:5" x14ac:dyDescent="0.25">
      <c r="A10868" s="5">
        <f>10860</f>
      </c>
      <c r="B10868" s="5" t="s">
        <v>10117</v>
      </c>
      <c r="C10868" s="5" t="s">
        <v>11</v>
      </c>
      <c r="D10868" s="5" t="s">
        <v>12</v>
      </c>
      <c r="E10868" s="5" t="s">
        <v>10059</v>
      </c>
    </row>
    <row r="10869" spans="1:5" x14ac:dyDescent="0.25">
      <c r="A10869" s="5">
        <f>10861</f>
      </c>
      <c r="B10869" s="5" t="s">
        <v>10118</v>
      </c>
      <c r="C10869" s="5" t="s">
        <v>11</v>
      </c>
      <c r="D10869" s="5" t="s">
        <v>12</v>
      </c>
      <c r="E10869" s="5" t="s">
        <v>4156</v>
      </c>
    </row>
    <row r="10870" spans="1:5" x14ac:dyDescent="0.25">
      <c r="A10870" s="5">
        <f>10862</f>
      </c>
      <c r="B10870" s="5" t="s">
        <v>10119</v>
      </c>
      <c r="C10870" s="5" t="s">
        <v>11</v>
      </c>
      <c r="D10870" s="5" t="s">
        <v>12</v>
      </c>
      <c r="E10870" s="5" t="s">
        <v>4156</v>
      </c>
    </row>
    <row r="10871" spans="1:5" x14ac:dyDescent="0.25">
      <c r="A10871" s="5">
        <f>10863</f>
      </c>
      <c r="B10871" s="5" t="s">
        <v>10120</v>
      </c>
      <c r="C10871" s="5" t="s">
        <v>11</v>
      </c>
      <c r="D10871" s="5" t="s">
        <v>12</v>
      </c>
      <c r="E10871" s="5" t="s">
        <v>4156</v>
      </c>
    </row>
    <row r="10872" spans="1:5" x14ac:dyDescent="0.25">
      <c r="A10872" s="5">
        <f>10864</f>
      </c>
      <c r="B10872" s="5" t="s">
        <v>10121</v>
      </c>
      <c r="C10872" s="5" t="s">
        <v>11</v>
      </c>
      <c r="D10872" s="5" t="s">
        <v>12</v>
      </c>
      <c r="E10872" s="5" t="s">
        <v>4156</v>
      </c>
    </row>
    <row r="10873" spans="1:5" x14ac:dyDescent="0.25">
      <c r="A10873" s="5">
        <f>10865</f>
      </c>
      <c r="B10873" s="5" t="s">
        <v>10122</v>
      </c>
      <c r="C10873" s="5" t="s">
        <v>11</v>
      </c>
      <c r="D10873" s="5" t="s">
        <v>12</v>
      </c>
      <c r="E10873" s="5" t="s">
        <v>4156</v>
      </c>
    </row>
    <row r="10874" spans="1:5" x14ac:dyDescent="0.25">
      <c r="A10874" s="5">
        <f>10866</f>
      </c>
      <c r="B10874" s="5" t="s">
        <v>10123</v>
      </c>
      <c r="C10874" s="5" t="s">
        <v>11</v>
      </c>
      <c r="D10874" s="5" t="s">
        <v>12</v>
      </c>
      <c r="E10874" s="5" t="s">
        <v>4156</v>
      </c>
    </row>
    <row r="10875" spans="1:5" x14ac:dyDescent="0.25">
      <c r="A10875" s="5">
        <f>10867</f>
      </c>
      <c r="B10875" s="5" t="s">
        <v>10124</v>
      </c>
      <c r="C10875" s="5" t="s">
        <v>11</v>
      </c>
      <c r="D10875" s="5" t="s">
        <v>12</v>
      </c>
      <c r="E10875" s="5" t="s">
        <v>4156</v>
      </c>
    </row>
    <row r="10876" spans="1:5" x14ac:dyDescent="0.25">
      <c r="A10876" s="5">
        <f>10868</f>
      </c>
      <c r="B10876" s="5" t="s">
        <v>10125</v>
      </c>
      <c r="C10876" s="5" t="s">
        <v>11</v>
      </c>
      <c r="D10876" s="5" t="s">
        <v>12</v>
      </c>
      <c r="E10876" s="5" t="s">
        <v>4156</v>
      </c>
    </row>
    <row r="10877" spans="1:5" x14ac:dyDescent="0.25">
      <c r="A10877" s="5">
        <f>10869</f>
      </c>
      <c r="B10877" s="5" t="s">
        <v>10126</v>
      </c>
      <c r="C10877" s="5" t="s">
        <v>11</v>
      </c>
      <c r="D10877" s="5" t="s">
        <v>12</v>
      </c>
      <c r="E10877" s="5" t="s">
        <v>4156</v>
      </c>
    </row>
    <row r="10878" spans="1:5" x14ac:dyDescent="0.25">
      <c r="A10878" s="5">
        <f>10870</f>
      </c>
      <c r="B10878" s="5" t="s">
        <v>10127</v>
      </c>
      <c r="C10878" s="5" t="s">
        <v>11</v>
      </c>
      <c r="D10878" s="5" t="s">
        <v>12</v>
      </c>
      <c r="E10878" s="5" t="s">
        <v>4156</v>
      </c>
    </row>
    <row r="10879" spans="1:5" x14ac:dyDescent="0.25">
      <c r="A10879" s="5">
        <f>10871</f>
      </c>
      <c r="B10879" s="5" t="s">
        <v>10128</v>
      </c>
      <c r="C10879" s="5" t="s">
        <v>11</v>
      </c>
      <c r="D10879" s="5" t="s">
        <v>12</v>
      </c>
      <c r="E10879" s="5" t="s">
        <v>4156</v>
      </c>
    </row>
    <row r="10880" spans="1:5" x14ac:dyDescent="0.25">
      <c r="A10880" s="5">
        <f>10872</f>
      </c>
      <c r="B10880" s="5" t="s">
        <v>10129</v>
      </c>
      <c r="C10880" s="5" t="s">
        <v>11</v>
      </c>
      <c r="D10880" s="5" t="s">
        <v>12</v>
      </c>
      <c r="E10880" s="5" t="s">
        <v>4156</v>
      </c>
    </row>
    <row r="10881" spans="1:5" x14ac:dyDescent="0.25">
      <c r="A10881" s="5">
        <f>10873</f>
      </c>
      <c r="B10881" s="5" t="s">
        <v>10130</v>
      </c>
      <c r="C10881" s="5" t="s">
        <v>11</v>
      </c>
      <c r="D10881" s="5" t="s">
        <v>12</v>
      </c>
      <c r="E10881" s="5" t="s">
        <v>4156</v>
      </c>
    </row>
    <row r="10882" spans="1:5" x14ac:dyDescent="0.25">
      <c r="A10882" s="5">
        <f>10874</f>
      </c>
      <c r="B10882" s="5" t="s">
        <v>10131</v>
      </c>
      <c r="C10882" s="5" t="s">
        <v>11</v>
      </c>
      <c r="D10882" s="5" t="s">
        <v>12</v>
      </c>
      <c r="E10882" s="5" t="s">
        <v>4156</v>
      </c>
    </row>
    <row r="10883" spans="1:5" x14ac:dyDescent="0.25">
      <c r="A10883" s="5">
        <f>10875</f>
      </c>
      <c r="B10883" s="5" t="s">
        <v>10132</v>
      </c>
      <c r="C10883" s="5" t="s">
        <v>11</v>
      </c>
      <c r="D10883" s="5" t="s">
        <v>12</v>
      </c>
      <c r="E10883" s="5" t="s">
        <v>4156</v>
      </c>
    </row>
    <row r="10884" spans="1:5" x14ac:dyDescent="0.25">
      <c r="A10884" s="5">
        <f>10876</f>
      </c>
      <c r="B10884" s="5" t="s">
        <v>10133</v>
      </c>
      <c r="C10884" s="5" t="s">
        <v>11</v>
      </c>
      <c r="D10884" s="5" t="s">
        <v>12</v>
      </c>
      <c r="E10884" s="5" t="s">
        <v>4156</v>
      </c>
    </row>
    <row r="10885" spans="1:5" x14ac:dyDescent="0.25">
      <c r="A10885" s="5">
        <f>10877</f>
      </c>
      <c r="B10885" s="5" t="s">
        <v>10134</v>
      </c>
      <c r="C10885" s="5" t="s">
        <v>11</v>
      </c>
      <c r="D10885" s="5" t="s">
        <v>12</v>
      </c>
      <c r="E10885" s="5" t="s">
        <v>4156</v>
      </c>
    </row>
    <row r="10886" spans="1:5" x14ac:dyDescent="0.25">
      <c r="A10886" s="5">
        <f>10878</f>
      </c>
      <c r="B10886" s="5" t="s">
        <v>10135</v>
      </c>
      <c r="C10886" s="5" t="s">
        <v>11</v>
      </c>
      <c r="D10886" s="5" t="s">
        <v>12</v>
      </c>
      <c r="E10886" s="5" t="s">
        <v>4156</v>
      </c>
    </row>
    <row r="10887" spans="1:5" x14ac:dyDescent="0.25">
      <c r="A10887" s="5">
        <f>10879</f>
      </c>
      <c r="B10887" s="5" t="s">
        <v>10136</v>
      </c>
      <c r="C10887" s="5" t="s">
        <v>11</v>
      </c>
      <c r="D10887" s="5" t="s">
        <v>12</v>
      </c>
      <c r="E10887" s="5" t="s">
        <v>4156</v>
      </c>
    </row>
    <row r="10888" spans="1:5" x14ac:dyDescent="0.25">
      <c r="A10888" s="5">
        <f>10880</f>
      </c>
      <c r="B10888" s="5" t="s">
        <v>10137</v>
      </c>
      <c r="C10888" s="5" t="s">
        <v>11</v>
      </c>
      <c r="D10888" s="5" t="s">
        <v>12</v>
      </c>
      <c r="E10888" s="5" t="s">
        <v>4156</v>
      </c>
    </row>
    <row r="10889" spans="1:5" x14ac:dyDescent="0.25">
      <c r="A10889" s="5">
        <f>10881</f>
      </c>
      <c r="B10889" s="5" t="s">
        <v>10138</v>
      </c>
      <c r="C10889" s="5" t="s">
        <v>11</v>
      </c>
      <c r="D10889" s="5" t="s">
        <v>12</v>
      </c>
      <c r="E10889" s="5" t="s">
        <v>4156</v>
      </c>
    </row>
    <row r="10890" spans="1:5" x14ac:dyDescent="0.25">
      <c r="A10890" s="5">
        <f>10882</f>
      </c>
      <c r="B10890" s="5" t="s">
        <v>10139</v>
      </c>
      <c r="C10890" s="5" t="s">
        <v>11</v>
      </c>
      <c r="D10890" s="5" t="s">
        <v>12</v>
      </c>
      <c r="E10890" s="5" t="s">
        <v>4156</v>
      </c>
    </row>
    <row r="10891" spans="1:5" x14ac:dyDescent="0.25">
      <c r="A10891" s="5">
        <f>10883</f>
      </c>
      <c r="B10891" s="5" t="s">
        <v>10140</v>
      </c>
      <c r="C10891" s="5" t="s">
        <v>11</v>
      </c>
      <c r="D10891" s="5" t="s">
        <v>12</v>
      </c>
      <c r="E10891" s="5" t="s">
        <v>4156</v>
      </c>
    </row>
    <row r="10892" spans="1:5" x14ac:dyDescent="0.25">
      <c r="A10892" s="5">
        <f>10884</f>
      </c>
      <c r="B10892" s="5" t="s">
        <v>10141</v>
      </c>
      <c r="C10892" s="5" t="s">
        <v>11</v>
      </c>
      <c r="D10892" s="5" t="s">
        <v>12</v>
      </c>
      <c r="E10892" s="5" t="s">
        <v>4156</v>
      </c>
    </row>
    <row r="10893" spans="1:5" x14ac:dyDescent="0.25">
      <c r="A10893" s="5">
        <f>10885</f>
      </c>
      <c r="B10893" s="5" t="s">
        <v>10142</v>
      </c>
      <c r="C10893" s="5" t="s">
        <v>11</v>
      </c>
      <c r="D10893" s="5" t="s">
        <v>12</v>
      </c>
      <c r="E10893" s="5" t="s">
        <v>4156</v>
      </c>
    </row>
    <row r="10894" spans="1:5" x14ac:dyDescent="0.25">
      <c r="A10894" s="5">
        <f>10886</f>
      </c>
      <c r="B10894" s="5" t="s">
        <v>10143</v>
      </c>
      <c r="C10894" s="5" t="s">
        <v>11</v>
      </c>
      <c r="D10894" s="5" t="s">
        <v>12</v>
      </c>
      <c r="E10894" s="5" t="s">
        <v>4156</v>
      </c>
    </row>
    <row r="10895" spans="1:5" x14ac:dyDescent="0.25">
      <c r="A10895" s="5">
        <f>10887</f>
      </c>
      <c r="B10895" s="5" t="s">
        <v>10144</v>
      </c>
      <c r="C10895" s="5" t="s">
        <v>11</v>
      </c>
      <c r="D10895" s="5" t="s">
        <v>12</v>
      </c>
      <c r="E10895" s="5" t="s">
        <v>4156</v>
      </c>
    </row>
    <row r="10896" spans="1:5" x14ac:dyDescent="0.25">
      <c r="A10896" s="5">
        <f>10888</f>
      </c>
      <c r="B10896" s="5" t="s">
        <v>10145</v>
      </c>
      <c r="C10896" s="5" t="s">
        <v>11</v>
      </c>
      <c r="D10896" s="5" t="s">
        <v>12</v>
      </c>
      <c r="E10896" s="5" t="s">
        <v>4156</v>
      </c>
    </row>
    <row r="10897" spans="1:5" x14ac:dyDescent="0.25">
      <c r="A10897" s="5">
        <f>10889</f>
      </c>
      <c r="B10897" s="5" t="s">
        <v>10146</v>
      </c>
      <c r="C10897" s="5" t="s">
        <v>11</v>
      </c>
      <c r="D10897" s="5" t="s">
        <v>12</v>
      </c>
      <c r="E10897" s="5" t="s">
        <v>4156</v>
      </c>
    </row>
    <row r="10898" spans="1:5" x14ac:dyDescent="0.25">
      <c r="A10898" s="5">
        <f>10890</f>
      </c>
      <c r="B10898" s="5" t="s">
        <v>10147</v>
      </c>
      <c r="C10898" s="5" t="s">
        <v>11</v>
      </c>
      <c r="D10898" s="5" t="s">
        <v>12</v>
      </c>
      <c r="E10898" s="5" t="s">
        <v>4156</v>
      </c>
    </row>
    <row r="10899" spans="1:5" x14ac:dyDescent="0.25">
      <c r="A10899" s="5">
        <f>10891</f>
      </c>
      <c r="B10899" s="5" t="s">
        <v>10148</v>
      </c>
      <c r="C10899" s="5" t="s">
        <v>11</v>
      </c>
      <c r="D10899" s="5" t="s">
        <v>12</v>
      </c>
      <c r="E10899" s="5" t="s">
        <v>4156</v>
      </c>
    </row>
    <row r="10900" spans="1:5" x14ac:dyDescent="0.25">
      <c r="A10900" s="5">
        <f>10892</f>
      </c>
      <c r="B10900" s="5" t="s">
        <v>10149</v>
      </c>
      <c r="C10900" s="5" t="s">
        <v>11</v>
      </c>
      <c r="D10900" s="5" t="s">
        <v>12</v>
      </c>
      <c r="E10900" s="5" t="s">
        <v>4156</v>
      </c>
    </row>
    <row r="10901" spans="1:5" x14ac:dyDescent="0.25">
      <c r="A10901" s="5">
        <f>10893</f>
      </c>
      <c r="B10901" s="5" t="s">
        <v>10150</v>
      </c>
      <c r="C10901" s="5" t="s">
        <v>11</v>
      </c>
      <c r="D10901" s="5" t="s">
        <v>12</v>
      </c>
      <c r="E10901" s="5" t="s">
        <v>4156</v>
      </c>
    </row>
    <row r="10902" spans="1:5" x14ac:dyDescent="0.25">
      <c r="A10902" s="5">
        <f>10894</f>
      </c>
      <c r="B10902" s="5" t="s">
        <v>10151</v>
      </c>
      <c r="C10902" s="5" t="s">
        <v>11</v>
      </c>
      <c r="D10902" s="5" t="s">
        <v>12</v>
      </c>
      <c r="E10902" s="5" t="s">
        <v>4156</v>
      </c>
    </row>
    <row r="10903" spans="1:5" x14ac:dyDescent="0.25">
      <c r="A10903" s="5">
        <f>10895</f>
      </c>
      <c r="B10903" s="5" t="s">
        <v>10152</v>
      </c>
      <c r="C10903" s="5" t="s">
        <v>11</v>
      </c>
      <c r="D10903" s="5" t="s">
        <v>12</v>
      </c>
      <c r="E10903" s="5" t="s">
        <v>4156</v>
      </c>
    </row>
    <row r="10904" spans="1:5" x14ac:dyDescent="0.25">
      <c r="A10904" s="5">
        <f>10896</f>
      </c>
      <c r="B10904" s="5" t="s">
        <v>10153</v>
      </c>
      <c r="C10904" s="5" t="s">
        <v>11</v>
      </c>
      <c r="D10904" s="5" t="s">
        <v>12</v>
      </c>
      <c r="E10904" s="5" t="s">
        <v>4156</v>
      </c>
    </row>
    <row r="10905" spans="1:5" x14ac:dyDescent="0.25">
      <c r="A10905" s="5">
        <f>10897</f>
      </c>
      <c r="B10905" s="5" t="s">
        <v>10154</v>
      </c>
      <c r="C10905" s="5" t="s">
        <v>11</v>
      </c>
      <c r="D10905" s="5" t="s">
        <v>12</v>
      </c>
      <c r="E10905" s="5" t="s">
        <v>4156</v>
      </c>
    </row>
    <row r="10906" spans="1:5" x14ac:dyDescent="0.25">
      <c r="A10906" s="5">
        <f>10898</f>
      </c>
      <c r="B10906" s="5" t="s">
        <v>10155</v>
      </c>
      <c r="C10906" s="5" t="s">
        <v>11</v>
      </c>
      <c r="D10906" s="5" t="s">
        <v>12</v>
      </c>
      <c r="E10906" s="5" t="s">
        <v>4156</v>
      </c>
    </row>
    <row r="10907" spans="1:5" x14ac:dyDescent="0.25">
      <c r="A10907" s="5">
        <f>10899</f>
      </c>
      <c r="B10907" s="5" t="s">
        <v>10156</v>
      </c>
      <c r="C10907" s="5" t="s">
        <v>11</v>
      </c>
      <c r="D10907" s="5" t="s">
        <v>12</v>
      </c>
      <c r="E10907" s="5" t="s">
        <v>4156</v>
      </c>
    </row>
    <row r="10908" spans="1:5" x14ac:dyDescent="0.25">
      <c r="A10908" s="5">
        <f>10900</f>
      </c>
      <c r="B10908" s="5" t="s">
        <v>10157</v>
      </c>
      <c r="C10908" s="5" t="s">
        <v>11</v>
      </c>
      <c r="D10908" s="5" t="s">
        <v>12</v>
      </c>
      <c r="E10908" s="5" t="s">
        <v>4156</v>
      </c>
    </row>
    <row r="10909" spans="1:5" x14ac:dyDescent="0.25">
      <c r="A10909" s="5">
        <f>10901</f>
      </c>
      <c r="B10909" s="5" t="s">
        <v>10158</v>
      </c>
      <c r="C10909" s="5" t="s">
        <v>11</v>
      </c>
      <c r="D10909" s="5" t="s">
        <v>12</v>
      </c>
      <c r="E10909" s="5" t="s">
        <v>4156</v>
      </c>
    </row>
    <row r="10910" spans="1:5" x14ac:dyDescent="0.25">
      <c r="A10910" s="5">
        <f>10902</f>
      </c>
      <c r="B10910" s="5" t="s">
        <v>10159</v>
      </c>
      <c r="C10910" s="5" t="s">
        <v>11</v>
      </c>
      <c r="D10910" s="5" t="s">
        <v>12</v>
      </c>
      <c r="E10910" s="5" t="s">
        <v>4156</v>
      </c>
    </row>
    <row r="10911" spans="1:5" x14ac:dyDescent="0.25">
      <c r="A10911" s="5">
        <f>10903</f>
      </c>
      <c r="B10911" s="5" t="s">
        <v>10160</v>
      </c>
      <c r="C10911" s="5" t="s">
        <v>11</v>
      </c>
      <c r="D10911" s="5" t="s">
        <v>12</v>
      </c>
      <c r="E10911" s="5" t="s">
        <v>4156</v>
      </c>
    </row>
    <row r="10912" spans="1:5" x14ac:dyDescent="0.25">
      <c r="A10912" s="5">
        <f>10904</f>
      </c>
      <c r="B10912" s="5" t="s">
        <v>10161</v>
      </c>
      <c r="C10912" s="5" t="s">
        <v>11</v>
      </c>
      <c r="D10912" s="5" t="s">
        <v>12</v>
      </c>
      <c r="E10912" s="5" t="s">
        <v>4156</v>
      </c>
    </row>
    <row r="10913" spans="1:5" x14ac:dyDescent="0.25">
      <c r="A10913" s="5">
        <f>10905</f>
      </c>
      <c r="B10913" s="5" t="s">
        <v>10162</v>
      </c>
      <c r="C10913" s="5" t="s">
        <v>11</v>
      </c>
      <c r="D10913" s="5" t="s">
        <v>12</v>
      </c>
      <c r="E10913" s="5" t="s">
        <v>4156</v>
      </c>
    </row>
    <row r="10914" spans="1:5" x14ac:dyDescent="0.25">
      <c r="A10914" s="5">
        <f>10906</f>
      </c>
      <c r="B10914" s="5" t="s">
        <v>10163</v>
      </c>
      <c r="C10914" s="5" t="s">
        <v>11</v>
      </c>
      <c r="D10914" s="5" t="s">
        <v>12</v>
      </c>
      <c r="E10914" s="5" t="s">
        <v>4156</v>
      </c>
    </row>
    <row r="10915" spans="1:5" x14ac:dyDescent="0.25">
      <c r="A10915" s="5">
        <f>10907</f>
      </c>
      <c r="B10915" s="5" t="s">
        <v>10164</v>
      </c>
      <c r="C10915" s="5" t="s">
        <v>11</v>
      </c>
      <c r="D10915" s="5" t="s">
        <v>12</v>
      </c>
      <c r="E10915" s="5" t="s">
        <v>4156</v>
      </c>
    </row>
    <row r="10916" spans="1:5" x14ac:dyDescent="0.25">
      <c r="A10916" s="5">
        <f>10908</f>
      </c>
      <c r="B10916" s="5" t="s">
        <v>10165</v>
      </c>
      <c r="C10916" s="5" t="s">
        <v>11</v>
      </c>
      <c r="D10916" s="5" t="s">
        <v>12</v>
      </c>
      <c r="E10916" s="5" t="s">
        <v>4156</v>
      </c>
    </row>
    <row r="10917" spans="1:5" x14ac:dyDescent="0.25">
      <c r="A10917" s="5">
        <f>10909</f>
      </c>
      <c r="B10917" s="5" t="s">
        <v>10166</v>
      </c>
      <c r="C10917" s="5" t="s">
        <v>11</v>
      </c>
      <c r="D10917" s="5" t="s">
        <v>12</v>
      </c>
      <c r="E10917" s="5" t="s">
        <v>4156</v>
      </c>
    </row>
    <row r="10918" spans="1:5" x14ac:dyDescent="0.25">
      <c r="A10918" s="5">
        <f>10910</f>
      </c>
      <c r="B10918" s="5" t="s">
        <v>10167</v>
      </c>
      <c r="C10918" s="5" t="s">
        <v>11</v>
      </c>
      <c r="D10918" s="5" t="s">
        <v>12</v>
      </c>
      <c r="E10918" s="5" t="s">
        <v>4156</v>
      </c>
    </row>
    <row r="10919" spans="1:5" x14ac:dyDescent="0.25">
      <c r="A10919" s="5">
        <f>10911</f>
      </c>
      <c r="B10919" s="5" t="s">
        <v>10168</v>
      </c>
      <c r="C10919" s="5" t="s">
        <v>11</v>
      </c>
      <c r="D10919" s="5" t="s">
        <v>12</v>
      </c>
      <c r="E10919" s="5" t="s">
        <v>4156</v>
      </c>
    </row>
    <row r="10920" spans="1:5" x14ac:dyDescent="0.25">
      <c r="A10920" s="5">
        <f>10912</f>
      </c>
      <c r="B10920" s="5" t="s">
        <v>10169</v>
      </c>
      <c r="C10920" s="5" t="s">
        <v>11</v>
      </c>
      <c r="D10920" s="5" t="s">
        <v>12</v>
      </c>
      <c r="E10920" s="5" t="s">
        <v>4156</v>
      </c>
    </row>
    <row r="10921" spans="1:5" x14ac:dyDescent="0.25">
      <c r="A10921" s="5">
        <f>10913</f>
      </c>
      <c r="B10921" s="5" t="s">
        <v>10170</v>
      </c>
      <c r="C10921" s="5" t="s">
        <v>11</v>
      </c>
      <c r="D10921" s="5" t="s">
        <v>12</v>
      </c>
      <c r="E10921" s="5" t="s">
        <v>4156</v>
      </c>
    </row>
    <row r="10922" spans="1:5" x14ac:dyDescent="0.25">
      <c r="A10922" s="5">
        <f>10914</f>
      </c>
      <c r="B10922" s="5" t="s">
        <v>10171</v>
      </c>
      <c r="C10922" s="5" t="s">
        <v>11</v>
      </c>
      <c r="D10922" s="5" t="s">
        <v>12</v>
      </c>
      <c r="E10922" s="5" t="s">
        <v>4156</v>
      </c>
    </row>
    <row r="10923" spans="1:5" x14ac:dyDescent="0.25">
      <c r="A10923" s="5">
        <f>10915</f>
      </c>
      <c r="B10923" s="5" t="s">
        <v>10172</v>
      </c>
      <c r="C10923" s="5" t="s">
        <v>11</v>
      </c>
      <c r="D10923" s="5" t="s">
        <v>12</v>
      </c>
      <c r="E10923" s="5" t="s">
        <v>4156</v>
      </c>
    </row>
    <row r="10924" spans="1:5" x14ac:dyDescent="0.25">
      <c r="A10924" s="5">
        <f>10916</f>
      </c>
      <c r="B10924" s="5" t="s">
        <v>10173</v>
      </c>
      <c r="C10924" s="5" t="s">
        <v>11</v>
      </c>
      <c r="D10924" s="5" t="s">
        <v>12</v>
      </c>
      <c r="E10924" s="5" t="s">
        <v>4156</v>
      </c>
    </row>
    <row r="10925" spans="1:5" x14ac:dyDescent="0.25">
      <c r="A10925" s="5">
        <f>10917</f>
      </c>
      <c r="B10925" s="5" t="s">
        <v>10174</v>
      </c>
      <c r="C10925" s="5" t="s">
        <v>11</v>
      </c>
      <c r="D10925" s="5" t="s">
        <v>12</v>
      </c>
      <c r="E10925" s="5" t="s">
        <v>4156</v>
      </c>
    </row>
    <row r="10926" spans="1:5" x14ac:dyDescent="0.25">
      <c r="A10926" s="5">
        <f>10918</f>
      </c>
      <c r="B10926" s="5" t="s">
        <v>10175</v>
      </c>
      <c r="C10926" s="5" t="s">
        <v>11</v>
      </c>
      <c r="D10926" s="5" t="s">
        <v>12</v>
      </c>
      <c r="E10926" s="5" t="s">
        <v>4156</v>
      </c>
    </row>
    <row r="10927" spans="1:5" x14ac:dyDescent="0.25">
      <c r="A10927" s="5">
        <f>10919</f>
      </c>
      <c r="B10927" s="5" t="s">
        <v>10176</v>
      </c>
      <c r="C10927" s="5" t="s">
        <v>11</v>
      </c>
      <c r="D10927" s="5" t="s">
        <v>12</v>
      </c>
      <c r="E10927" s="5" t="s">
        <v>4156</v>
      </c>
    </row>
    <row r="10928" spans="1:5" x14ac:dyDescent="0.25">
      <c r="A10928" s="5">
        <f>10920</f>
      </c>
      <c r="B10928" s="5" t="s">
        <v>10177</v>
      </c>
      <c r="C10928" s="5" t="s">
        <v>11</v>
      </c>
      <c r="D10928" s="5" t="s">
        <v>12</v>
      </c>
      <c r="E10928" s="5" t="s">
        <v>4156</v>
      </c>
    </row>
    <row r="10929" spans="1:5" x14ac:dyDescent="0.25">
      <c r="A10929" s="5">
        <f>10921</f>
      </c>
      <c r="B10929" s="5" t="s">
        <v>10178</v>
      </c>
      <c r="C10929" s="5" t="s">
        <v>11</v>
      </c>
      <c r="D10929" s="5" t="s">
        <v>12</v>
      </c>
      <c r="E10929" s="5" t="s">
        <v>3771</v>
      </c>
    </row>
    <row r="10930" spans="1:5" x14ac:dyDescent="0.25">
      <c r="A10930" s="5">
        <f>10922</f>
      </c>
      <c r="B10930" s="5" t="s">
        <v>10179</v>
      </c>
      <c r="C10930" s="5" t="s">
        <v>11</v>
      </c>
      <c r="D10930" s="5" t="s">
        <v>12</v>
      </c>
      <c r="E10930" s="5" t="s">
        <v>3771</v>
      </c>
    </row>
    <row r="10931" spans="1:5" x14ac:dyDescent="0.25">
      <c r="A10931" s="5">
        <f>10923</f>
      </c>
      <c r="B10931" s="5" t="s">
        <v>10180</v>
      </c>
      <c r="C10931" s="5" t="s">
        <v>11</v>
      </c>
      <c r="D10931" s="5" t="s">
        <v>12</v>
      </c>
      <c r="E10931" s="5" t="s">
        <v>3771</v>
      </c>
    </row>
    <row r="10932" spans="1:5" x14ac:dyDescent="0.25">
      <c r="A10932" s="5">
        <f>10924</f>
      </c>
      <c r="B10932" s="5" t="s">
        <v>10181</v>
      </c>
      <c r="C10932" s="5" t="s">
        <v>11</v>
      </c>
      <c r="D10932" s="5" t="s">
        <v>12</v>
      </c>
      <c r="E10932" s="5" t="s">
        <v>3771</v>
      </c>
    </row>
    <row r="10933" spans="1:5" x14ac:dyDescent="0.25">
      <c r="A10933" s="5">
        <f>10925</f>
      </c>
      <c r="B10933" s="5" t="s">
        <v>10182</v>
      </c>
      <c r="C10933" s="5" t="s">
        <v>11</v>
      </c>
      <c r="D10933" s="5" t="s">
        <v>12</v>
      </c>
      <c r="E10933" s="5" t="s">
        <v>3771</v>
      </c>
    </row>
    <row r="10934" spans="1:5" x14ac:dyDescent="0.25">
      <c r="A10934" s="5">
        <f>10926</f>
      </c>
      <c r="B10934" s="5" t="s">
        <v>10183</v>
      </c>
      <c r="C10934" s="5" t="s">
        <v>11</v>
      </c>
      <c r="D10934" s="5" t="s">
        <v>12</v>
      </c>
      <c r="E10934" s="5" t="s">
        <v>3771</v>
      </c>
    </row>
    <row r="10935" spans="1:5" x14ac:dyDescent="0.25">
      <c r="A10935" s="5">
        <f>10927</f>
      </c>
      <c r="B10935" s="5" t="s">
        <v>10184</v>
      </c>
      <c r="C10935" s="5" t="s">
        <v>11</v>
      </c>
      <c r="D10935" s="5" t="s">
        <v>12</v>
      </c>
      <c r="E10935" s="5" t="s">
        <v>3771</v>
      </c>
    </row>
    <row r="10936" spans="1:5" x14ac:dyDescent="0.25">
      <c r="A10936" s="5">
        <f>10928</f>
      </c>
      <c r="B10936" s="5" t="s">
        <v>10185</v>
      </c>
      <c r="C10936" s="5" t="s">
        <v>11</v>
      </c>
      <c r="D10936" s="5" t="s">
        <v>12</v>
      </c>
      <c r="E10936" s="5" t="s">
        <v>3771</v>
      </c>
    </row>
    <row r="10937" spans="1:5" x14ac:dyDescent="0.25">
      <c r="A10937" s="5">
        <f>10929</f>
      </c>
      <c r="B10937" s="5" t="s">
        <v>10186</v>
      </c>
      <c r="C10937" s="5" t="s">
        <v>11</v>
      </c>
      <c r="D10937" s="5" t="s">
        <v>12</v>
      </c>
      <c r="E10937" s="5" t="s">
        <v>3771</v>
      </c>
    </row>
    <row r="10938" spans="1:5" x14ac:dyDescent="0.25">
      <c r="A10938" s="5">
        <f>10930</f>
      </c>
      <c r="B10938" s="5" t="s">
        <v>10187</v>
      </c>
      <c r="C10938" s="5" t="s">
        <v>11</v>
      </c>
      <c r="D10938" s="5" t="s">
        <v>12</v>
      </c>
      <c r="E10938" s="5" t="s">
        <v>3771</v>
      </c>
    </row>
    <row r="10939" spans="1:5" x14ac:dyDescent="0.25">
      <c r="A10939" s="5">
        <f>10931</f>
      </c>
      <c r="B10939" s="5" t="s">
        <v>10188</v>
      </c>
      <c r="C10939" s="5" t="s">
        <v>11</v>
      </c>
      <c r="D10939" s="5" t="s">
        <v>12</v>
      </c>
      <c r="E10939" s="5" t="s">
        <v>3771</v>
      </c>
    </row>
    <row r="10940" spans="1:5" x14ac:dyDescent="0.25">
      <c r="A10940" s="5">
        <f>10932</f>
      </c>
      <c r="B10940" s="5" t="s">
        <v>10189</v>
      </c>
      <c r="C10940" s="5" t="s">
        <v>11</v>
      </c>
      <c r="D10940" s="5" t="s">
        <v>12</v>
      </c>
      <c r="E10940" s="5" t="s">
        <v>3771</v>
      </c>
    </row>
    <row r="10941" spans="1:5" x14ac:dyDescent="0.25">
      <c r="A10941" s="5">
        <f>10933</f>
      </c>
      <c r="B10941" s="5" t="s">
        <v>10190</v>
      </c>
      <c r="C10941" s="5" t="s">
        <v>11</v>
      </c>
      <c r="D10941" s="5" t="s">
        <v>12</v>
      </c>
      <c r="E10941" s="5" t="s">
        <v>3771</v>
      </c>
    </row>
    <row r="10942" spans="1:5" x14ac:dyDescent="0.25">
      <c r="A10942" s="5">
        <f>10934</f>
      </c>
      <c r="B10942" s="5" t="s">
        <v>10191</v>
      </c>
      <c r="C10942" s="5" t="s">
        <v>11</v>
      </c>
      <c r="D10942" s="5" t="s">
        <v>12</v>
      </c>
      <c r="E10942" s="5" t="s">
        <v>3771</v>
      </c>
    </row>
    <row r="10943" spans="1:5" x14ac:dyDescent="0.25">
      <c r="A10943" s="5">
        <f>10935</f>
      </c>
      <c r="B10943" s="5" t="s">
        <v>10192</v>
      </c>
      <c r="C10943" s="5" t="s">
        <v>11</v>
      </c>
      <c r="D10943" s="5" t="s">
        <v>12</v>
      </c>
      <c r="E10943" s="5" t="s">
        <v>3771</v>
      </c>
    </row>
    <row r="10944" spans="1:5" x14ac:dyDescent="0.25">
      <c r="A10944" s="5">
        <f>10936</f>
      </c>
      <c r="B10944" s="5" t="s">
        <v>10193</v>
      </c>
      <c r="C10944" s="5" t="s">
        <v>11</v>
      </c>
      <c r="D10944" s="5" t="s">
        <v>12</v>
      </c>
      <c r="E10944" s="5" t="s">
        <v>3771</v>
      </c>
    </row>
    <row r="10945" spans="1:5" x14ac:dyDescent="0.25">
      <c r="A10945" s="5">
        <f>10937</f>
      </c>
      <c r="B10945" s="5" t="s">
        <v>10194</v>
      </c>
      <c r="C10945" s="5" t="s">
        <v>11</v>
      </c>
      <c r="D10945" s="5" t="s">
        <v>12</v>
      </c>
      <c r="E10945" s="5" t="s">
        <v>3771</v>
      </c>
    </row>
    <row r="10946" spans="1:5" x14ac:dyDescent="0.25">
      <c r="A10946" s="5">
        <f>10938</f>
      </c>
      <c r="B10946" s="5" t="s">
        <v>10195</v>
      </c>
      <c r="C10946" s="5" t="s">
        <v>11</v>
      </c>
      <c r="D10946" s="5" t="s">
        <v>12</v>
      </c>
      <c r="E10946" s="5" t="s">
        <v>3771</v>
      </c>
    </row>
    <row r="10947" spans="1:5" x14ac:dyDescent="0.25">
      <c r="A10947" s="5">
        <f>10939</f>
      </c>
      <c r="B10947" s="5" t="s">
        <v>10196</v>
      </c>
      <c r="C10947" s="5" t="s">
        <v>11</v>
      </c>
      <c r="D10947" s="5" t="s">
        <v>12</v>
      </c>
      <c r="E10947" s="5" t="s">
        <v>3771</v>
      </c>
    </row>
    <row r="10948" spans="1:5" x14ac:dyDescent="0.25">
      <c r="A10948" s="5">
        <f>10940</f>
      </c>
      <c r="B10948" s="5" t="s">
        <v>10197</v>
      </c>
      <c r="C10948" s="5" t="s">
        <v>11</v>
      </c>
      <c r="D10948" s="5" t="s">
        <v>12</v>
      </c>
      <c r="E10948" s="5" t="s">
        <v>3771</v>
      </c>
    </row>
    <row r="10949" spans="1:5" x14ac:dyDescent="0.25">
      <c r="A10949" s="5">
        <f>10941</f>
      </c>
      <c r="B10949" s="5" t="s">
        <v>10198</v>
      </c>
      <c r="C10949" s="5" t="s">
        <v>11</v>
      </c>
      <c r="D10949" s="5" t="s">
        <v>12</v>
      </c>
      <c r="E10949" s="5" t="s">
        <v>3771</v>
      </c>
    </row>
    <row r="10950" spans="1:5" x14ac:dyDescent="0.25">
      <c r="A10950" s="5">
        <f>10942</f>
      </c>
      <c r="B10950" s="5" t="s">
        <v>10199</v>
      </c>
      <c r="C10950" s="5" t="s">
        <v>11</v>
      </c>
      <c r="D10950" s="5" t="s">
        <v>12</v>
      </c>
      <c r="E10950" s="5" t="s">
        <v>3771</v>
      </c>
    </row>
    <row r="10951" spans="1:5" x14ac:dyDescent="0.25">
      <c r="A10951" s="5">
        <f>10943</f>
      </c>
      <c r="B10951" s="5" t="s">
        <v>10200</v>
      </c>
      <c r="C10951" s="5" t="s">
        <v>11</v>
      </c>
      <c r="D10951" s="5" t="s">
        <v>12</v>
      </c>
      <c r="E10951" s="5" t="s">
        <v>3771</v>
      </c>
    </row>
    <row r="10952" spans="1:5" x14ac:dyDescent="0.25">
      <c r="A10952" s="5">
        <f>10944</f>
      </c>
      <c r="B10952" s="5" t="s">
        <v>10201</v>
      </c>
      <c r="C10952" s="5" t="s">
        <v>11</v>
      </c>
      <c r="D10952" s="5" t="s">
        <v>12</v>
      </c>
      <c r="E10952" s="5" t="s">
        <v>3771</v>
      </c>
    </row>
    <row r="10953" spans="1:5" x14ac:dyDescent="0.25">
      <c r="A10953" s="5">
        <f>10945</f>
      </c>
      <c r="B10953" s="5" t="s">
        <v>10202</v>
      </c>
      <c r="C10953" s="5" t="s">
        <v>11</v>
      </c>
      <c r="D10953" s="5" t="s">
        <v>12</v>
      </c>
      <c r="E10953" s="5" t="s">
        <v>3771</v>
      </c>
    </row>
    <row r="10954" spans="1:5" x14ac:dyDescent="0.25">
      <c r="A10954" s="5">
        <f>10946</f>
      </c>
      <c r="B10954" s="5" t="s">
        <v>10203</v>
      </c>
      <c r="C10954" s="5" t="s">
        <v>11</v>
      </c>
      <c r="D10954" s="5" t="s">
        <v>12</v>
      </c>
      <c r="E10954" s="5" t="s">
        <v>3771</v>
      </c>
    </row>
    <row r="10955" spans="1:5" x14ac:dyDescent="0.25">
      <c r="A10955" s="5">
        <f>10947</f>
      </c>
      <c r="B10955" s="5" t="s">
        <v>10204</v>
      </c>
      <c r="C10955" s="5" t="s">
        <v>11</v>
      </c>
      <c r="D10955" s="5" t="s">
        <v>12</v>
      </c>
      <c r="E10955" s="5" t="s">
        <v>3771</v>
      </c>
    </row>
    <row r="10956" spans="1:5" x14ac:dyDescent="0.25">
      <c r="A10956" s="5">
        <f>10948</f>
      </c>
      <c r="B10956" s="5" t="s">
        <v>10205</v>
      </c>
      <c r="C10956" s="5" t="s">
        <v>11</v>
      </c>
      <c r="D10956" s="5" t="s">
        <v>12</v>
      </c>
      <c r="E10956" s="5" t="s">
        <v>3771</v>
      </c>
    </row>
    <row r="10957" spans="1:5" x14ac:dyDescent="0.25">
      <c r="A10957" s="5">
        <f>10949</f>
      </c>
      <c r="B10957" s="5" t="s">
        <v>10206</v>
      </c>
      <c r="C10957" s="5" t="s">
        <v>11</v>
      </c>
      <c r="D10957" s="5" t="s">
        <v>12</v>
      </c>
      <c r="E10957" s="5" t="s">
        <v>3771</v>
      </c>
    </row>
    <row r="10958" spans="1:5" x14ac:dyDescent="0.25">
      <c r="A10958" s="5">
        <f>10950</f>
      </c>
      <c r="B10958" s="5" t="s">
        <v>10207</v>
      </c>
      <c r="C10958" s="5" t="s">
        <v>11</v>
      </c>
      <c r="D10958" s="5" t="s">
        <v>12</v>
      </c>
      <c r="E10958" s="5" t="s">
        <v>3771</v>
      </c>
    </row>
    <row r="10959" spans="1:5" x14ac:dyDescent="0.25">
      <c r="A10959" s="5">
        <f>10951</f>
      </c>
      <c r="B10959" s="5" t="s">
        <v>10208</v>
      </c>
      <c r="C10959" s="5" t="s">
        <v>11</v>
      </c>
      <c r="D10959" s="5" t="s">
        <v>12</v>
      </c>
      <c r="E10959" s="5" t="s">
        <v>3771</v>
      </c>
    </row>
    <row r="10960" spans="1:5" x14ac:dyDescent="0.25">
      <c r="A10960" s="5">
        <f>10952</f>
      </c>
      <c r="B10960" s="5" t="s">
        <v>10209</v>
      </c>
      <c r="C10960" s="5" t="s">
        <v>11</v>
      </c>
      <c r="D10960" s="5" t="s">
        <v>12</v>
      </c>
      <c r="E10960" s="5" t="s">
        <v>3771</v>
      </c>
    </row>
    <row r="10961" spans="1:5" x14ac:dyDescent="0.25">
      <c r="A10961" s="5">
        <f>10953</f>
      </c>
      <c r="B10961" s="5" t="s">
        <v>10210</v>
      </c>
      <c r="C10961" s="5" t="s">
        <v>11</v>
      </c>
      <c r="D10961" s="5" t="s">
        <v>12</v>
      </c>
      <c r="E10961" s="5" t="s">
        <v>3771</v>
      </c>
    </row>
    <row r="10962" spans="1:5" x14ac:dyDescent="0.25">
      <c r="A10962" s="5">
        <f>10954</f>
      </c>
      <c r="B10962" s="5" t="s">
        <v>10211</v>
      </c>
      <c r="C10962" s="5" t="s">
        <v>11</v>
      </c>
      <c r="D10962" s="5" t="s">
        <v>12</v>
      </c>
      <c r="E10962" s="5" t="s">
        <v>3771</v>
      </c>
    </row>
    <row r="10963" spans="1:5" x14ac:dyDescent="0.25">
      <c r="A10963" s="5">
        <f>10955</f>
      </c>
      <c r="B10963" s="5" t="s">
        <v>10212</v>
      </c>
      <c r="C10963" s="5" t="s">
        <v>11</v>
      </c>
      <c r="D10963" s="5" t="s">
        <v>12</v>
      </c>
      <c r="E10963" s="5" t="s">
        <v>3771</v>
      </c>
    </row>
    <row r="10964" spans="1:5" x14ac:dyDescent="0.25">
      <c r="A10964" s="5">
        <f>10956</f>
      </c>
      <c r="B10964" s="5" t="s">
        <v>10213</v>
      </c>
      <c r="C10964" s="5" t="s">
        <v>11</v>
      </c>
      <c r="D10964" s="5" t="s">
        <v>12</v>
      </c>
      <c r="E10964" s="5" t="s">
        <v>3771</v>
      </c>
    </row>
    <row r="10965" spans="1:5" x14ac:dyDescent="0.25">
      <c r="A10965" s="5">
        <f>10957</f>
      </c>
      <c r="B10965" s="5" t="s">
        <v>10214</v>
      </c>
      <c r="C10965" s="5" t="s">
        <v>11</v>
      </c>
      <c r="D10965" s="5" t="s">
        <v>12</v>
      </c>
      <c r="E10965" s="5" t="s">
        <v>3771</v>
      </c>
    </row>
    <row r="10966" spans="1:5" x14ac:dyDescent="0.25">
      <c r="A10966" s="5">
        <f>10958</f>
      </c>
      <c r="B10966" s="5" t="s">
        <v>10215</v>
      </c>
      <c r="C10966" s="5" t="s">
        <v>11</v>
      </c>
      <c r="D10966" s="5" t="s">
        <v>12</v>
      </c>
      <c r="E10966" s="5" t="s">
        <v>3771</v>
      </c>
    </row>
    <row r="10967" spans="1:5" x14ac:dyDescent="0.25">
      <c r="A10967" s="5">
        <f>10959</f>
      </c>
      <c r="B10967" s="5" t="s">
        <v>10216</v>
      </c>
      <c r="C10967" s="5" t="s">
        <v>11</v>
      </c>
      <c r="D10967" s="5" t="s">
        <v>12</v>
      </c>
      <c r="E10967" s="5" t="s">
        <v>3771</v>
      </c>
    </row>
    <row r="10968" spans="1:5" x14ac:dyDescent="0.25">
      <c r="A10968" s="5">
        <f>10960</f>
      </c>
      <c r="B10968" s="5" t="s">
        <v>10217</v>
      </c>
      <c r="C10968" s="5" t="s">
        <v>11</v>
      </c>
      <c r="D10968" s="5" t="s">
        <v>12</v>
      </c>
      <c r="E10968" s="5" t="s">
        <v>3771</v>
      </c>
    </row>
    <row r="10969" spans="1:5" x14ac:dyDescent="0.25">
      <c r="A10969" s="5">
        <f>10961</f>
      </c>
      <c r="B10969" s="5" t="s">
        <v>10218</v>
      </c>
      <c r="C10969" s="5" t="s">
        <v>11</v>
      </c>
      <c r="D10969" s="5" t="s">
        <v>12</v>
      </c>
      <c r="E10969" s="5" t="s">
        <v>3771</v>
      </c>
    </row>
    <row r="10970" spans="1:5" x14ac:dyDescent="0.25">
      <c r="A10970" s="5">
        <f>10962</f>
      </c>
      <c r="B10970" s="5" t="s">
        <v>10219</v>
      </c>
      <c r="C10970" s="5" t="s">
        <v>11</v>
      </c>
      <c r="D10970" s="5" t="s">
        <v>12</v>
      </c>
      <c r="E10970" s="5" t="s">
        <v>3771</v>
      </c>
    </row>
    <row r="10971" spans="1:5" x14ac:dyDescent="0.25">
      <c r="A10971" s="5">
        <f>10963</f>
      </c>
      <c r="B10971" s="5" t="s">
        <v>10220</v>
      </c>
      <c r="C10971" s="5" t="s">
        <v>11</v>
      </c>
      <c r="D10971" s="5" t="s">
        <v>12</v>
      </c>
      <c r="E10971" s="5" t="s">
        <v>3771</v>
      </c>
    </row>
    <row r="10972" spans="1:5" x14ac:dyDescent="0.25">
      <c r="A10972" s="5">
        <f>10964</f>
      </c>
      <c r="B10972" s="5" t="s">
        <v>10221</v>
      </c>
      <c r="C10972" s="5" t="s">
        <v>11</v>
      </c>
      <c r="D10972" s="5" t="s">
        <v>12</v>
      </c>
      <c r="E10972" s="5" t="s">
        <v>3771</v>
      </c>
    </row>
    <row r="10973" spans="1:5" x14ac:dyDescent="0.25">
      <c r="A10973" s="5">
        <f>10965</f>
      </c>
      <c r="B10973" s="5" t="s">
        <v>10222</v>
      </c>
      <c r="C10973" s="5" t="s">
        <v>11</v>
      </c>
      <c r="D10973" s="5" t="s">
        <v>12</v>
      </c>
      <c r="E10973" s="5" t="s">
        <v>3771</v>
      </c>
    </row>
    <row r="10974" spans="1:5" x14ac:dyDescent="0.25">
      <c r="A10974" s="5">
        <f>10966</f>
      </c>
      <c r="B10974" s="5" t="s">
        <v>10223</v>
      </c>
      <c r="C10974" s="5" t="s">
        <v>11</v>
      </c>
      <c r="D10974" s="5" t="s">
        <v>12</v>
      </c>
      <c r="E10974" s="5" t="s">
        <v>3771</v>
      </c>
    </row>
    <row r="10975" spans="1:5" x14ac:dyDescent="0.25">
      <c r="A10975" s="5">
        <f>10967</f>
      </c>
      <c r="B10975" s="5" t="s">
        <v>10224</v>
      </c>
      <c r="C10975" s="5" t="s">
        <v>11</v>
      </c>
      <c r="D10975" s="5" t="s">
        <v>12</v>
      </c>
      <c r="E10975" s="5" t="s">
        <v>3771</v>
      </c>
    </row>
    <row r="10976" spans="1:5" x14ac:dyDescent="0.25">
      <c r="A10976" s="5">
        <f>10968</f>
      </c>
      <c r="B10976" s="5" t="s">
        <v>10225</v>
      </c>
      <c r="C10976" s="5" t="s">
        <v>11</v>
      </c>
      <c r="D10976" s="5" t="s">
        <v>12</v>
      </c>
      <c r="E10976" s="5" t="s">
        <v>3771</v>
      </c>
    </row>
    <row r="10977" spans="1:5" x14ac:dyDescent="0.25">
      <c r="A10977" s="5">
        <f>10969</f>
      </c>
      <c r="B10977" s="5" t="s">
        <v>10226</v>
      </c>
      <c r="C10977" s="5" t="s">
        <v>11</v>
      </c>
      <c r="D10977" s="5" t="s">
        <v>12</v>
      </c>
      <c r="E10977" s="5" t="s">
        <v>3771</v>
      </c>
    </row>
    <row r="10978" spans="1:5" x14ac:dyDescent="0.25">
      <c r="A10978" s="5">
        <f>10970</f>
      </c>
      <c r="B10978" s="5" t="s">
        <v>10227</v>
      </c>
      <c r="C10978" s="5" t="s">
        <v>11</v>
      </c>
      <c r="D10978" s="5" t="s">
        <v>12</v>
      </c>
      <c r="E10978" s="5" t="s">
        <v>3771</v>
      </c>
    </row>
    <row r="10979" spans="1:5" x14ac:dyDescent="0.25">
      <c r="A10979" s="5">
        <f>10971</f>
      </c>
      <c r="B10979" s="5" t="s">
        <v>10228</v>
      </c>
      <c r="C10979" s="5" t="s">
        <v>11</v>
      </c>
      <c r="D10979" s="5" t="s">
        <v>12</v>
      </c>
      <c r="E10979" s="5" t="s">
        <v>3771</v>
      </c>
    </row>
    <row r="10980" spans="1:5" x14ac:dyDescent="0.25">
      <c r="A10980" s="5">
        <f>10972</f>
      </c>
      <c r="B10980" s="5" t="s">
        <v>10229</v>
      </c>
      <c r="C10980" s="5" t="s">
        <v>11</v>
      </c>
      <c r="D10980" s="5" t="s">
        <v>12</v>
      </c>
      <c r="E10980" s="5" t="s">
        <v>3771</v>
      </c>
    </row>
    <row r="10981" spans="1:5" x14ac:dyDescent="0.25">
      <c r="A10981" s="5">
        <f>10973</f>
      </c>
      <c r="B10981" s="5" t="s">
        <v>10230</v>
      </c>
      <c r="C10981" s="5" t="s">
        <v>11</v>
      </c>
      <c r="D10981" s="5" t="s">
        <v>12</v>
      </c>
      <c r="E10981" s="5" t="s">
        <v>3771</v>
      </c>
    </row>
    <row r="10982" spans="1:5" x14ac:dyDescent="0.25">
      <c r="A10982" s="5">
        <f>10974</f>
      </c>
      <c r="B10982" s="5" t="s">
        <v>10231</v>
      </c>
      <c r="C10982" s="5" t="s">
        <v>11</v>
      </c>
      <c r="D10982" s="5" t="s">
        <v>12</v>
      </c>
      <c r="E10982" s="5" t="s">
        <v>3771</v>
      </c>
    </row>
    <row r="10983" spans="1:5" x14ac:dyDescent="0.25">
      <c r="A10983" s="5">
        <f>10975</f>
      </c>
      <c r="B10983" s="5" t="s">
        <v>10232</v>
      </c>
      <c r="C10983" s="5" t="s">
        <v>11</v>
      </c>
      <c r="D10983" s="5" t="s">
        <v>12</v>
      </c>
      <c r="E10983" s="5" t="s">
        <v>3771</v>
      </c>
    </row>
    <row r="10984" spans="1:5" x14ac:dyDescent="0.25">
      <c r="A10984" s="5">
        <f>10976</f>
      </c>
      <c r="B10984" s="5" t="s">
        <v>10233</v>
      </c>
      <c r="C10984" s="5" t="s">
        <v>11</v>
      </c>
      <c r="D10984" s="5" t="s">
        <v>12</v>
      </c>
      <c r="E10984" s="5" t="s">
        <v>3771</v>
      </c>
    </row>
    <row r="10985" spans="1:5" x14ac:dyDescent="0.25">
      <c r="A10985" s="5">
        <f>10977</f>
      </c>
      <c r="B10985" s="5" t="s">
        <v>10234</v>
      </c>
      <c r="C10985" s="5" t="s">
        <v>11</v>
      </c>
      <c r="D10985" s="5" t="s">
        <v>12</v>
      </c>
      <c r="E10985" s="5" t="s">
        <v>3771</v>
      </c>
    </row>
    <row r="10986" spans="1:5" x14ac:dyDescent="0.25">
      <c r="A10986" s="5">
        <f>10978</f>
      </c>
      <c r="B10986" s="5" t="s">
        <v>10235</v>
      </c>
      <c r="C10986" s="5" t="s">
        <v>11</v>
      </c>
      <c r="D10986" s="5" t="s">
        <v>12</v>
      </c>
      <c r="E10986" s="5" t="s">
        <v>3771</v>
      </c>
    </row>
    <row r="10987" spans="1:5" x14ac:dyDescent="0.25">
      <c r="A10987" s="5">
        <f>10979</f>
      </c>
      <c r="B10987" s="5" t="s">
        <v>10236</v>
      </c>
      <c r="C10987" s="5" t="s">
        <v>11</v>
      </c>
      <c r="D10987" s="5" t="s">
        <v>12</v>
      </c>
      <c r="E10987" s="5" t="s">
        <v>3771</v>
      </c>
    </row>
    <row r="10988" spans="1:5" x14ac:dyDescent="0.25">
      <c r="A10988" s="5">
        <f>10980</f>
      </c>
      <c r="B10988" s="5" t="s">
        <v>10237</v>
      </c>
      <c r="C10988" s="5" t="s">
        <v>11</v>
      </c>
      <c r="D10988" s="5" t="s">
        <v>12</v>
      </c>
      <c r="E10988" s="5" t="s">
        <v>3771</v>
      </c>
    </row>
    <row r="10989" spans="1:5" x14ac:dyDescent="0.25">
      <c r="A10989" s="5">
        <f>10981</f>
      </c>
      <c r="B10989" s="5" t="s">
        <v>10238</v>
      </c>
      <c r="C10989" s="5" t="s">
        <v>11</v>
      </c>
      <c r="D10989" s="5" t="s">
        <v>12</v>
      </c>
      <c r="E10989" s="5" t="s">
        <v>975</v>
      </c>
    </row>
    <row r="10990" spans="1:5" x14ac:dyDescent="0.25">
      <c r="A10990" s="5">
        <f>10982</f>
      </c>
      <c r="B10990" s="5" t="s">
        <v>10239</v>
      </c>
      <c r="C10990" s="5" t="s">
        <v>11</v>
      </c>
      <c r="D10990" s="5" t="s">
        <v>12</v>
      </c>
      <c r="E10990" s="5" t="s">
        <v>975</v>
      </c>
    </row>
    <row r="10991" spans="1:5" x14ac:dyDescent="0.25">
      <c r="A10991" s="5">
        <f>10983</f>
      </c>
      <c r="B10991" s="5" t="s">
        <v>10240</v>
      </c>
      <c r="C10991" s="5" t="s">
        <v>11</v>
      </c>
      <c r="D10991" s="5" t="s">
        <v>12</v>
      </c>
      <c r="E10991" s="5" t="s">
        <v>975</v>
      </c>
    </row>
    <row r="10992" spans="1:5" x14ac:dyDescent="0.25">
      <c r="A10992" s="5">
        <f>10984</f>
      </c>
      <c r="B10992" s="5" t="s">
        <v>10241</v>
      </c>
      <c r="C10992" s="5" t="s">
        <v>11</v>
      </c>
      <c r="D10992" s="5" t="s">
        <v>12</v>
      </c>
      <c r="E10992" s="5" t="s">
        <v>975</v>
      </c>
    </row>
    <row r="10993" spans="1:5" x14ac:dyDescent="0.25">
      <c r="A10993" s="5">
        <f>10985</f>
      </c>
      <c r="B10993" s="5" t="s">
        <v>10242</v>
      </c>
      <c r="C10993" s="5" t="s">
        <v>11</v>
      </c>
      <c r="D10993" s="5" t="s">
        <v>12</v>
      </c>
      <c r="E10993" s="5" t="s">
        <v>975</v>
      </c>
    </row>
    <row r="10994" spans="1:5" x14ac:dyDescent="0.25">
      <c r="A10994" s="5">
        <f>10986</f>
      </c>
      <c r="B10994" s="5" t="s">
        <v>10243</v>
      </c>
      <c r="C10994" s="5" t="s">
        <v>11</v>
      </c>
      <c r="D10994" s="5" t="s">
        <v>12</v>
      </c>
      <c r="E10994" s="5" t="s">
        <v>975</v>
      </c>
    </row>
    <row r="10995" spans="1:5" x14ac:dyDescent="0.25">
      <c r="A10995" s="5">
        <f>10987</f>
      </c>
      <c r="B10995" s="5" t="s">
        <v>10244</v>
      </c>
      <c r="C10995" s="5" t="s">
        <v>11</v>
      </c>
      <c r="D10995" s="5" t="s">
        <v>12</v>
      </c>
      <c r="E10995" s="5" t="s">
        <v>975</v>
      </c>
    </row>
    <row r="10996" spans="1:5" x14ac:dyDescent="0.25">
      <c r="A10996" s="5">
        <f>10988</f>
      </c>
      <c r="B10996" s="5" t="s">
        <v>10245</v>
      </c>
      <c r="C10996" s="5" t="s">
        <v>11</v>
      </c>
      <c r="D10996" s="5" t="s">
        <v>12</v>
      </c>
      <c r="E10996" s="5" t="s">
        <v>975</v>
      </c>
    </row>
    <row r="10997" spans="1:5" x14ac:dyDescent="0.25">
      <c r="A10997" s="5">
        <f>10989</f>
      </c>
      <c r="B10997" s="5" t="s">
        <v>10246</v>
      </c>
      <c r="C10997" s="5" t="s">
        <v>11</v>
      </c>
      <c r="D10997" s="5" t="s">
        <v>12</v>
      </c>
      <c r="E10997" s="5" t="s">
        <v>975</v>
      </c>
    </row>
    <row r="10998" spans="1:5" x14ac:dyDescent="0.25">
      <c r="A10998" s="5">
        <f>10990</f>
      </c>
      <c r="B10998" s="5" t="s">
        <v>10247</v>
      </c>
      <c r="C10998" s="5" t="s">
        <v>11</v>
      </c>
      <c r="D10998" s="5" t="s">
        <v>12</v>
      </c>
      <c r="E10998" s="5" t="s">
        <v>975</v>
      </c>
    </row>
    <row r="10999" spans="1:5" x14ac:dyDescent="0.25">
      <c r="A10999" s="5">
        <f>10991</f>
      </c>
      <c r="B10999" s="5" t="s">
        <v>10248</v>
      </c>
      <c r="C10999" s="5" t="s">
        <v>11</v>
      </c>
      <c r="D10999" s="5" t="s">
        <v>12</v>
      </c>
      <c r="E10999" s="5" t="s">
        <v>975</v>
      </c>
    </row>
    <row r="11000" spans="1:5" x14ac:dyDescent="0.25">
      <c r="A11000" s="5">
        <f>10992</f>
      </c>
      <c r="B11000" s="5" t="s">
        <v>10249</v>
      </c>
      <c r="C11000" s="5" t="s">
        <v>11</v>
      </c>
      <c r="D11000" s="5" t="s">
        <v>12</v>
      </c>
      <c r="E11000" s="5" t="s">
        <v>975</v>
      </c>
    </row>
    <row r="11001" spans="1:5" x14ac:dyDescent="0.25">
      <c r="A11001" s="5">
        <f>10993</f>
      </c>
      <c r="B11001" s="5" t="s">
        <v>10250</v>
      </c>
      <c r="C11001" s="5" t="s">
        <v>11</v>
      </c>
      <c r="D11001" s="5" t="s">
        <v>12</v>
      </c>
      <c r="E11001" s="5" t="s">
        <v>975</v>
      </c>
    </row>
    <row r="11002" spans="1:5" x14ac:dyDescent="0.25">
      <c r="A11002" s="5">
        <f>10994</f>
      </c>
      <c r="B11002" s="5" t="s">
        <v>10251</v>
      </c>
      <c r="C11002" s="5" t="s">
        <v>11</v>
      </c>
      <c r="D11002" s="5" t="s">
        <v>12</v>
      </c>
      <c r="E11002" s="5" t="s">
        <v>975</v>
      </c>
    </row>
    <row r="11003" spans="1:5" x14ac:dyDescent="0.25">
      <c r="A11003" s="5">
        <f>10995</f>
      </c>
      <c r="B11003" s="5" t="s">
        <v>10252</v>
      </c>
      <c r="C11003" s="5" t="s">
        <v>11</v>
      </c>
      <c r="D11003" s="5" t="s">
        <v>12</v>
      </c>
      <c r="E11003" s="5" t="s">
        <v>975</v>
      </c>
    </row>
    <row r="11004" spans="1:5" x14ac:dyDescent="0.25">
      <c r="A11004" s="5">
        <f>10996</f>
      </c>
      <c r="B11004" s="5" t="s">
        <v>10253</v>
      </c>
      <c r="C11004" s="5" t="s">
        <v>11</v>
      </c>
      <c r="D11004" s="5" t="s">
        <v>12</v>
      </c>
      <c r="E11004" s="5" t="s">
        <v>975</v>
      </c>
    </row>
    <row r="11005" spans="1:5" x14ac:dyDescent="0.25">
      <c r="A11005" s="5">
        <f>10997</f>
      </c>
      <c r="B11005" s="5" t="s">
        <v>10254</v>
      </c>
      <c r="C11005" s="5" t="s">
        <v>11</v>
      </c>
      <c r="D11005" s="5" t="s">
        <v>12</v>
      </c>
      <c r="E11005" s="5" t="s">
        <v>975</v>
      </c>
    </row>
    <row r="11006" spans="1:5" x14ac:dyDescent="0.25">
      <c r="A11006" s="5">
        <f>10998</f>
      </c>
      <c r="B11006" s="5" t="s">
        <v>10255</v>
      </c>
      <c r="C11006" s="5" t="s">
        <v>11</v>
      </c>
      <c r="D11006" s="5" t="s">
        <v>12</v>
      </c>
      <c r="E11006" s="5" t="s">
        <v>975</v>
      </c>
    </row>
    <row r="11007" spans="1:5" x14ac:dyDescent="0.25">
      <c r="A11007" s="5">
        <f>10999</f>
      </c>
      <c r="B11007" s="5" t="s">
        <v>10256</v>
      </c>
      <c r="C11007" s="5" t="s">
        <v>11</v>
      </c>
      <c r="D11007" s="5" t="s">
        <v>12</v>
      </c>
      <c r="E11007" s="5" t="s">
        <v>975</v>
      </c>
    </row>
    <row r="11008" spans="1:5" x14ac:dyDescent="0.25">
      <c r="A11008" s="5">
        <f>11000</f>
      </c>
      <c r="B11008" s="5" t="s">
        <v>10257</v>
      </c>
      <c r="C11008" s="5" t="s">
        <v>11</v>
      </c>
      <c r="D11008" s="5" t="s">
        <v>12</v>
      </c>
      <c r="E11008" s="5" t="s">
        <v>975</v>
      </c>
    </row>
    <row r="11009" spans="1:5" x14ac:dyDescent="0.25">
      <c r="A11009" s="5">
        <f>11001</f>
      </c>
      <c r="B11009" s="5" t="s">
        <v>10258</v>
      </c>
      <c r="C11009" s="5" t="s">
        <v>11</v>
      </c>
      <c r="D11009" s="5" t="s">
        <v>12</v>
      </c>
      <c r="E11009" s="5" t="s">
        <v>975</v>
      </c>
    </row>
    <row r="11010" spans="1:5" x14ac:dyDescent="0.25">
      <c r="A11010" s="5">
        <f>11002</f>
      </c>
      <c r="B11010" s="5" t="s">
        <v>10259</v>
      </c>
      <c r="C11010" s="5" t="s">
        <v>11</v>
      </c>
      <c r="D11010" s="5" t="s">
        <v>12</v>
      </c>
      <c r="E11010" s="5" t="s">
        <v>975</v>
      </c>
    </row>
    <row r="11011" spans="1:5" x14ac:dyDescent="0.25">
      <c r="A11011" s="5">
        <f>11003</f>
      </c>
      <c r="B11011" s="5" t="s">
        <v>10260</v>
      </c>
      <c r="C11011" s="5" t="s">
        <v>11</v>
      </c>
      <c r="D11011" s="5" t="s">
        <v>12</v>
      </c>
      <c r="E11011" s="5" t="s">
        <v>975</v>
      </c>
    </row>
    <row r="11012" spans="1:5" x14ac:dyDescent="0.25">
      <c r="A11012" s="5">
        <f>11004</f>
      </c>
      <c r="B11012" s="5" t="s">
        <v>10261</v>
      </c>
      <c r="C11012" s="5" t="s">
        <v>11</v>
      </c>
      <c r="D11012" s="5" t="s">
        <v>12</v>
      </c>
      <c r="E11012" s="5" t="s">
        <v>975</v>
      </c>
    </row>
    <row r="11013" spans="1:5" x14ac:dyDescent="0.25">
      <c r="A11013" s="5">
        <f>11005</f>
      </c>
      <c r="B11013" s="5" t="s">
        <v>10262</v>
      </c>
      <c r="C11013" s="5" t="s">
        <v>11</v>
      </c>
      <c r="D11013" s="5" t="s">
        <v>12</v>
      </c>
      <c r="E11013" s="5" t="s">
        <v>975</v>
      </c>
    </row>
    <row r="11014" spans="1:5" x14ac:dyDescent="0.25">
      <c r="A11014" s="5">
        <f>11006</f>
      </c>
      <c r="B11014" s="5" t="s">
        <v>10263</v>
      </c>
      <c r="C11014" s="5" t="s">
        <v>11</v>
      </c>
      <c r="D11014" s="5" t="s">
        <v>12</v>
      </c>
      <c r="E11014" s="5" t="s">
        <v>975</v>
      </c>
    </row>
    <row r="11015" spans="1:5" x14ac:dyDescent="0.25">
      <c r="A11015" s="5">
        <f>11007</f>
      </c>
      <c r="B11015" s="5" t="s">
        <v>10264</v>
      </c>
      <c r="C11015" s="5" t="s">
        <v>11</v>
      </c>
      <c r="D11015" s="5" t="s">
        <v>12</v>
      </c>
      <c r="E11015" s="5" t="s">
        <v>975</v>
      </c>
    </row>
    <row r="11016" spans="1:5" x14ac:dyDescent="0.25">
      <c r="A11016" s="5">
        <f>11008</f>
      </c>
      <c r="B11016" s="5" t="s">
        <v>10265</v>
      </c>
      <c r="C11016" s="5" t="s">
        <v>11</v>
      </c>
      <c r="D11016" s="5" t="s">
        <v>12</v>
      </c>
      <c r="E11016" s="5" t="s">
        <v>975</v>
      </c>
    </row>
    <row r="11017" spans="1:5" x14ac:dyDescent="0.25">
      <c r="A11017" s="5">
        <f>11009</f>
      </c>
      <c r="B11017" s="5" t="s">
        <v>10266</v>
      </c>
      <c r="C11017" s="5" t="s">
        <v>11</v>
      </c>
      <c r="D11017" s="5" t="s">
        <v>12</v>
      </c>
      <c r="E11017" s="5" t="s">
        <v>975</v>
      </c>
    </row>
    <row r="11018" spans="1:5" x14ac:dyDescent="0.25">
      <c r="A11018" s="5">
        <f>11010</f>
      </c>
      <c r="B11018" s="5" t="s">
        <v>10267</v>
      </c>
      <c r="C11018" s="5" t="s">
        <v>11</v>
      </c>
      <c r="D11018" s="5" t="s">
        <v>12</v>
      </c>
      <c r="E11018" s="5" t="s">
        <v>975</v>
      </c>
    </row>
    <row r="11019" spans="1:5" x14ac:dyDescent="0.25">
      <c r="A11019" s="5">
        <f>11011</f>
      </c>
      <c r="B11019" s="5" t="s">
        <v>10268</v>
      </c>
      <c r="C11019" s="5" t="s">
        <v>11</v>
      </c>
      <c r="D11019" s="5" t="s">
        <v>12</v>
      </c>
      <c r="E11019" s="5" t="s">
        <v>975</v>
      </c>
    </row>
    <row r="11020" spans="1:5" x14ac:dyDescent="0.25">
      <c r="A11020" s="5">
        <f>11012</f>
      </c>
      <c r="B11020" s="5" t="s">
        <v>10269</v>
      </c>
      <c r="C11020" s="5" t="s">
        <v>11</v>
      </c>
      <c r="D11020" s="5" t="s">
        <v>12</v>
      </c>
      <c r="E11020" s="5" t="s">
        <v>975</v>
      </c>
    </row>
    <row r="11021" spans="1:5" x14ac:dyDescent="0.25">
      <c r="A11021" s="5">
        <f>11013</f>
      </c>
      <c r="B11021" s="5" t="s">
        <v>10270</v>
      </c>
      <c r="C11021" s="5" t="s">
        <v>11</v>
      </c>
      <c r="D11021" s="5" t="s">
        <v>12</v>
      </c>
      <c r="E11021" s="5" t="s">
        <v>975</v>
      </c>
    </row>
    <row r="11022" spans="1:5" x14ac:dyDescent="0.25">
      <c r="A11022" s="5">
        <f>11014</f>
      </c>
      <c r="B11022" s="5" t="s">
        <v>10271</v>
      </c>
      <c r="C11022" s="5" t="s">
        <v>11</v>
      </c>
      <c r="D11022" s="5" t="s">
        <v>12</v>
      </c>
      <c r="E11022" s="5" t="s">
        <v>975</v>
      </c>
    </row>
    <row r="11023" spans="1:5" x14ac:dyDescent="0.25">
      <c r="A11023" s="5">
        <f>11015</f>
      </c>
      <c r="B11023" s="5" t="s">
        <v>10272</v>
      </c>
      <c r="C11023" s="5" t="s">
        <v>11</v>
      </c>
      <c r="D11023" s="5" t="s">
        <v>12</v>
      </c>
      <c r="E11023" s="5" t="s">
        <v>975</v>
      </c>
    </row>
    <row r="11024" spans="1:5" x14ac:dyDescent="0.25">
      <c r="A11024" s="5">
        <f>11016</f>
      </c>
      <c r="B11024" s="5" t="s">
        <v>10273</v>
      </c>
      <c r="C11024" s="5" t="s">
        <v>11</v>
      </c>
      <c r="D11024" s="5" t="s">
        <v>12</v>
      </c>
      <c r="E11024" s="5" t="s">
        <v>975</v>
      </c>
    </row>
    <row r="11025" spans="1:5" x14ac:dyDescent="0.25">
      <c r="A11025" s="5">
        <f>11017</f>
      </c>
      <c r="B11025" s="5" t="s">
        <v>10274</v>
      </c>
      <c r="C11025" s="5" t="s">
        <v>11</v>
      </c>
      <c r="D11025" s="5" t="s">
        <v>12</v>
      </c>
      <c r="E11025" s="5" t="s">
        <v>975</v>
      </c>
    </row>
    <row r="11026" spans="1:5" x14ac:dyDescent="0.25">
      <c r="A11026" s="5">
        <f>11018</f>
      </c>
      <c r="B11026" s="5" t="s">
        <v>10275</v>
      </c>
      <c r="C11026" s="5" t="s">
        <v>11</v>
      </c>
      <c r="D11026" s="5" t="s">
        <v>12</v>
      </c>
      <c r="E11026" s="5" t="s">
        <v>975</v>
      </c>
    </row>
    <row r="11027" spans="1:5" x14ac:dyDescent="0.25">
      <c r="A11027" s="5">
        <f>11019</f>
      </c>
      <c r="B11027" s="5" t="s">
        <v>10276</v>
      </c>
      <c r="C11027" s="5" t="s">
        <v>11</v>
      </c>
      <c r="D11027" s="5" t="s">
        <v>12</v>
      </c>
      <c r="E11027" s="5" t="s">
        <v>975</v>
      </c>
    </row>
    <row r="11028" spans="1:5" x14ac:dyDescent="0.25">
      <c r="A11028" s="5">
        <f>11020</f>
      </c>
      <c r="B11028" s="5" t="s">
        <v>10277</v>
      </c>
      <c r="C11028" s="5" t="s">
        <v>11</v>
      </c>
      <c r="D11028" s="5" t="s">
        <v>12</v>
      </c>
      <c r="E11028" s="5" t="s">
        <v>975</v>
      </c>
    </row>
    <row r="11029" spans="1:5" x14ac:dyDescent="0.25">
      <c r="A11029" s="5">
        <f>11021</f>
      </c>
      <c r="B11029" s="5" t="s">
        <v>10278</v>
      </c>
      <c r="C11029" s="5" t="s">
        <v>11</v>
      </c>
      <c r="D11029" s="5" t="s">
        <v>12</v>
      </c>
      <c r="E11029" s="5" t="s">
        <v>975</v>
      </c>
    </row>
    <row r="11030" spans="1:5" x14ac:dyDescent="0.25">
      <c r="A11030" s="5">
        <f>11022</f>
      </c>
      <c r="B11030" s="5" t="s">
        <v>10279</v>
      </c>
      <c r="C11030" s="5" t="s">
        <v>11</v>
      </c>
      <c r="D11030" s="5" t="s">
        <v>12</v>
      </c>
      <c r="E11030" s="5" t="s">
        <v>975</v>
      </c>
    </row>
    <row r="11031" spans="1:5" x14ac:dyDescent="0.25">
      <c r="A11031" s="5">
        <f>11023</f>
      </c>
      <c r="B11031" s="5" t="s">
        <v>10280</v>
      </c>
      <c r="C11031" s="5" t="s">
        <v>11</v>
      </c>
      <c r="D11031" s="5" t="s">
        <v>12</v>
      </c>
      <c r="E11031" s="5" t="s">
        <v>975</v>
      </c>
    </row>
    <row r="11032" spans="1:5" x14ac:dyDescent="0.25">
      <c r="A11032" s="5">
        <f>11024</f>
      </c>
      <c r="B11032" s="5" t="s">
        <v>10281</v>
      </c>
      <c r="C11032" s="5" t="s">
        <v>11</v>
      </c>
      <c r="D11032" s="5" t="s">
        <v>12</v>
      </c>
      <c r="E11032" s="5" t="s">
        <v>975</v>
      </c>
    </row>
    <row r="11033" spans="1:5" x14ac:dyDescent="0.25">
      <c r="A11033" s="5">
        <f>11025</f>
      </c>
      <c r="B11033" s="5" t="s">
        <v>10282</v>
      </c>
      <c r="C11033" s="5" t="s">
        <v>11</v>
      </c>
      <c r="D11033" s="5" t="s">
        <v>12</v>
      </c>
      <c r="E11033" s="5" t="s">
        <v>975</v>
      </c>
    </row>
    <row r="11034" spans="1:5" x14ac:dyDescent="0.25">
      <c r="A11034" s="5">
        <f>11026</f>
      </c>
      <c r="B11034" s="5" t="s">
        <v>10283</v>
      </c>
      <c r="C11034" s="5" t="s">
        <v>11</v>
      </c>
      <c r="D11034" s="5" t="s">
        <v>12</v>
      </c>
      <c r="E11034" s="5" t="s">
        <v>975</v>
      </c>
    </row>
    <row r="11035" spans="1:5" x14ac:dyDescent="0.25">
      <c r="A11035" s="5">
        <f>11027</f>
      </c>
      <c r="B11035" s="5" t="s">
        <v>10284</v>
      </c>
      <c r="C11035" s="5" t="s">
        <v>11</v>
      </c>
      <c r="D11035" s="5" t="s">
        <v>12</v>
      </c>
      <c r="E11035" s="5" t="s">
        <v>975</v>
      </c>
    </row>
    <row r="11036" spans="1:5" x14ac:dyDescent="0.25">
      <c r="A11036" s="5">
        <f>11028</f>
      </c>
      <c r="B11036" s="5" t="s">
        <v>10285</v>
      </c>
      <c r="C11036" s="5" t="s">
        <v>11</v>
      </c>
      <c r="D11036" s="5" t="s">
        <v>12</v>
      </c>
      <c r="E11036" s="5" t="s">
        <v>975</v>
      </c>
    </row>
    <row r="11037" spans="1:5" x14ac:dyDescent="0.25">
      <c r="A11037" s="5">
        <f>11029</f>
      </c>
      <c r="B11037" s="5" t="s">
        <v>10286</v>
      </c>
      <c r="C11037" s="5" t="s">
        <v>11</v>
      </c>
      <c r="D11037" s="5" t="s">
        <v>12</v>
      </c>
      <c r="E11037" s="5" t="s">
        <v>975</v>
      </c>
    </row>
    <row r="11038" spans="1:5" x14ac:dyDescent="0.25">
      <c r="A11038" s="5">
        <f>11030</f>
      </c>
      <c r="B11038" s="5" t="s">
        <v>10287</v>
      </c>
      <c r="C11038" s="5" t="s">
        <v>11</v>
      </c>
      <c r="D11038" s="5" t="s">
        <v>12</v>
      </c>
      <c r="E11038" s="5" t="s">
        <v>975</v>
      </c>
    </row>
    <row r="11039" spans="1:5" x14ac:dyDescent="0.25">
      <c r="A11039" s="5">
        <f>11031</f>
      </c>
      <c r="B11039" s="5" t="s">
        <v>10288</v>
      </c>
      <c r="C11039" s="5" t="s">
        <v>11</v>
      </c>
      <c r="D11039" s="5" t="s">
        <v>12</v>
      </c>
      <c r="E11039" s="5" t="s">
        <v>975</v>
      </c>
    </row>
    <row r="11040" spans="1:5" x14ac:dyDescent="0.25">
      <c r="A11040" s="5">
        <f>11032</f>
      </c>
      <c r="B11040" s="5" t="s">
        <v>10289</v>
      </c>
      <c r="C11040" s="5" t="s">
        <v>11</v>
      </c>
      <c r="D11040" s="5" t="s">
        <v>12</v>
      </c>
      <c r="E11040" s="5" t="s">
        <v>975</v>
      </c>
    </row>
    <row r="11041" spans="1:5" x14ac:dyDescent="0.25">
      <c r="A11041" s="5">
        <f>11033</f>
      </c>
      <c r="B11041" s="5" t="s">
        <v>10290</v>
      </c>
      <c r="C11041" s="5" t="s">
        <v>11</v>
      </c>
      <c r="D11041" s="5" t="s">
        <v>12</v>
      </c>
      <c r="E11041" s="5" t="s">
        <v>975</v>
      </c>
    </row>
    <row r="11042" spans="1:5" x14ac:dyDescent="0.25">
      <c r="A11042" s="5">
        <f>11034</f>
      </c>
      <c r="B11042" s="5" t="s">
        <v>10291</v>
      </c>
      <c r="C11042" s="5" t="s">
        <v>11</v>
      </c>
      <c r="D11042" s="5" t="s">
        <v>12</v>
      </c>
      <c r="E11042" s="5" t="s">
        <v>975</v>
      </c>
    </row>
    <row r="11043" spans="1:5" x14ac:dyDescent="0.25">
      <c r="A11043" s="5">
        <f>11035</f>
      </c>
      <c r="B11043" s="5" t="s">
        <v>10292</v>
      </c>
      <c r="C11043" s="5" t="s">
        <v>11</v>
      </c>
      <c r="D11043" s="5" t="s">
        <v>12</v>
      </c>
      <c r="E11043" s="5" t="s">
        <v>975</v>
      </c>
    </row>
    <row r="11044" spans="1:5" x14ac:dyDescent="0.25">
      <c r="A11044" s="5">
        <f>11036</f>
      </c>
      <c r="B11044" s="5" t="s">
        <v>10293</v>
      </c>
      <c r="C11044" s="5" t="s">
        <v>11</v>
      </c>
      <c r="D11044" s="5" t="s">
        <v>12</v>
      </c>
      <c r="E11044" s="5" t="s">
        <v>975</v>
      </c>
    </row>
    <row r="11045" spans="1:5" x14ac:dyDescent="0.25">
      <c r="A11045" s="5">
        <f>11037</f>
      </c>
      <c r="B11045" s="5" t="s">
        <v>10294</v>
      </c>
      <c r="C11045" s="5" t="s">
        <v>11</v>
      </c>
      <c r="D11045" s="5" t="s">
        <v>12</v>
      </c>
      <c r="E11045" s="5" t="s">
        <v>975</v>
      </c>
    </row>
    <row r="11046" spans="1:5" x14ac:dyDescent="0.25">
      <c r="A11046" s="5">
        <f>11038</f>
      </c>
      <c r="B11046" s="5" t="s">
        <v>10295</v>
      </c>
      <c r="C11046" s="5" t="s">
        <v>11</v>
      </c>
      <c r="D11046" s="5" t="s">
        <v>12</v>
      </c>
      <c r="E11046" s="5" t="s">
        <v>975</v>
      </c>
    </row>
    <row r="11047" spans="1:5" x14ac:dyDescent="0.25">
      <c r="A11047" s="5">
        <f>11039</f>
      </c>
      <c r="B11047" s="5" t="s">
        <v>10296</v>
      </c>
      <c r="C11047" s="5" t="s">
        <v>11</v>
      </c>
      <c r="D11047" s="5" t="s">
        <v>12</v>
      </c>
      <c r="E11047" s="5" t="s">
        <v>975</v>
      </c>
    </row>
    <row r="11048" spans="1:5" x14ac:dyDescent="0.25">
      <c r="A11048" s="5">
        <f>11040</f>
      </c>
      <c r="B11048" s="5" t="s">
        <v>10297</v>
      </c>
      <c r="C11048" s="5" t="s">
        <v>11</v>
      </c>
      <c r="D11048" s="5" t="s">
        <v>12</v>
      </c>
      <c r="E11048" s="5" t="s">
        <v>975</v>
      </c>
    </row>
    <row r="11049" spans="1:5" x14ac:dyDescent="0.25">
      <c r="A11049" s="5">
        <f>11041</f>
      </c>
      <c r="B11049" s="5" t="s">
        <v>10298</v>
      </c>
      <c r="C11049" s="5" t="s">
        <v>11</v>
      </c>
      <c r="D11049" s="5" t="s">
        <v>12</v>
      </c>
      <c r="E11049" s="5" t="s">
        <v>2616</v>
      </c>
    </row>
    <row r="11050" spans="1:5" x14ac:dyDescent="0.25">
      <c r="A11050" s="5">
        <f>11042</f>
      </c>
      <c r="B11050" s="5" t="s">
        <v>10299</v>
      </c>
      <c r="C11050" s="5" t="s">
        <v>11</v>
      </c>
      <c r="D11050" s="5" t="s">
        <v>12</v>
      </c>
      <c r="E11050" s="5" t="s">
        <v>2616</v>
      </c>
    </row>
    <row r="11051" spans="1:5" x14ac:dyDescent="0.25">
      <c r="A11051" s="5">
        <f>11043</f>
      </c>
      <c r="B11051" s="5" t="s">
        <v>10300</v>
      </c>
      <c r="C11051" s="5" t="s">
        <v>11</v>
      </c>
      <c r="D11051" s="5" t="s">
        <v>12</v>
      </c>
      <c r="E11051" s="5" t="s">
        <v>2616</v>
      </c>
    </row>
    <row r="11052" spans="1:5" x14ac:dyDescent="0.25">
      <c r="A11052" s="5">
        <f>11044</f>
      </c>
      <c r="B11052" s="5" t="s">
        <v>10301</v>
      </c>
      <c r="C11052" s="5" t="s">
        <v>11</v>
      </c>
      <c r="D11052" s="5" t="s">
        <v>12</v>
      </c>
      <c r="E11052" s="5" t="s">
        <v>2616</v>
      </c>
    </row>
    <row r="11053" spans="1:5" x14ac:dyDescent="0.25">
      <c r="A11053" s="5">
        <f>11045</f>
      </c>
      <c r="B11053" s="5" t="s">
        <v>10302</v>
      </c>
      <c r="C11053" s="5" t="s">
        <v>11</v>
      </c>
      <c r="D11053" s="5" t="s">
        <v>12</v>
      </c>
      <c r="E11053" s="5" t="s">
        <v>2616</v>
      </c>
    </row>
    <row r="11054" spans="1:5" x14ac:dyDescent="0.25">
      <c r="A11054" s="5">
        <f>11046</f>
      </c>
      <c r="B11054" s="5" t="s">
        <v>10303</v>
      </c>
      <c r="C11054" s="5" t="s">
        <v>11</v>
      </c>
      <c r="D11054" s="5" t="s">
        <v>12</v>
      </c>
      <c r="E11054" s="5" t="s">
        <v>2616</v>
      </c>
    </row>
    <row r="11055" spans="1:5" x14ac:dyDescent="0.25">
      <c r="A11055" s="5">
        <f>11047</f>
      </c>
      <c r="B11055" s="5" t="s">
        <v>10304</v>
      </c>
      <c r="C11055" s="5" t="s">
        <v>11</v>
      </c>
      <c r="D11055" s="5" t="s">
        <v>12</v>
      </c>
      <c r="E11055" s="5" t="s">
        <v>2616</v>
      </c>
    </row>
    <row r="11056" spans="1:5" x14ac:dyDescent="0.25">
      <c r="A11056" s="5">
        <f>11048</f>
      </c>
      <c r="B11056" s="5" t="s">
        <v>10305</v>
      </c>
      <c r="C11056" s="5" t="s">
        <v>11</v>
      </c>
      <c r="D11056" s="5" t="s">
        <v>12</v>
      </c>
      <c r="E11056" s="5" t="s">
        <v>2616</v>
      </c>
    </row>
    <row r="11057" spans="1:5" x14ac:dyDescent="0.25">
      <c r="A11057" s="5">
        <f>11049</f>
      </c>
      <c r="B11057" s="5" t="s">
        <v>10306</v>
      </c>
      <c r="C11057" s="5" t="s">
        <v>11</v>
      </c>
      <c r="D11057" s="5" t="s">
        <v>12</v>
      </c>
      <c r="E11057" s="5" t="s">
        <v>2616</v>
      </c>
    </row>
    <row r="11058" spans="1:5" x14ac:dyDescent="0.25">
      <c r="A11058" s="5">
        <f>11050</f>
      </c>
      <c r="B11058" s="5" t="s">
        <v>10307</v>
      </c>
      <c r="C11058" s="5" t="s">
        <v>11</v>
      </c>
      <c r="D11058" s="5" t="s">
        <v>12</v>
      </c>
      <c r="E11058" s="5" t="s">
        <v>2616</v>
      </c>
    </row>
    <row r="11059" spans="1:5" x14ac:dyDescent="0.25">
      <c r="A11059" s="5">
        <f>11051</f>
      </c>
      <c r="B11059" s="5" t="s">
        <v>10308</v>
      </c>
      <c r="C11059" s="5" t="s">
        <v>11</v>
      </c>
      <c r="D11059" s="5" t="s">
        <v>12</v>
      </c>
      <c r="E11059" s="5" t="s">
        <v>2616</v>
      </c>
    </row>
    <row r="11060" spans="1:5" x14ac:dyDescent="0.25">
      <c r="A11060" s="5">
        <f>11052</f>
      </c>
      <c r="B11060" s="5" t="s">
        <v>10309</v>
      </c>
      <c r="C11060" s="5" t="s">
        <v>11</v>
      </c>
      <c r="D11060" s="5" t="s">
        <v>12</v>
      </c>
      <c r="E11060" s="5" t="s">
        <v>2616</v>
      </c>
    </row>
    <row r="11061" spans="1:5" x14ac:dyDescent="0.25">
      <c r="A11061" s="5">
        <f>11053</f>
      </c>
      <c r="B11061" s="5" t="s">
        <v>10310</v>
      </c>
      <c r="C11061" s="5" t="s">
        <v>11</v>
      </c>
      <c r="D11061" s="5" t="s">
        <v>12</v>
      </c>
      <c r="E11061" s="5" t="s">
        <v>2616</v>
      </c>
    </row>
    <row r="11062" spans="1:5" x14ac:dyDescent="0.25">
      <c r="A11062" s="5">
        <f>11054</f>
      </c>
      <c r="B11062" s="5" t="s">
        <v>10311</v>
      </c>
      <c r="C11062" s="5" t="s">
        <v>11</v>
      </c>
      <c r="D11062" s="5" t="s">
        <v>12</v>
      </c>
      <c r="E11062" s="5" t="s">
        <v>2616</v>
      </c>
    </row>
    <row r="11063" spans="1:5" x14ac:dyDescent="0.25">
      <c r="A11063" s="5">
        <f>11055</f>
      </c>
      <c r="B11063" s="5" t="s">
        <v>10312</v>
      </c>
      <c r="C11063" s="5" t="s">
        <v>11</v>
      </c>
      <c r="D11063" s="5" t="s">
        <v>12</v>
      </c>
      <c r="E11063" s="5" t="s">
        <v>2616</v>
      </c>
    </row>
    <row r="11064" spans="1:5" x14ac:dyDescent="0.25">
      <c r="A11064" s="5">
        <f>11056</f>
      </c>
      <c r="B11064" s="5" t="s">
        <v>10313</v>
      </c>
      <c r="C11064" s="5" t="s">
        <v>11</v>
      </c>
      <c r="D11064" s="5" t="s">
        <v>12</v>
      </c>
      <c r="E11064" s="5" t="s">
        <v>2616</v>
      </c>
    </row>
    <row r="11065" spans="1:5" x14ac:dyDescent="0.25">
      <c r="A11065" s="5">
        <f>11057</f>
      </c>
      <c r="B11065" s="5" t="s">
        <v>10314</v>
      </c>
      <c r="C11065" s="5" t="s">
        <v>11</v>
      </c>
      <c r="D11065" s="5" t="s">
        <v>12</v>
      </c>
      <c r="E11065" s="5" t="s">
        <v>2616</v>
      </c>
    </row>
    <row r="11066" spans="1:5" x14ac:dyDescent="0.25">
      <c r="A11066" s="5">
        <f>11058</f>
      </c>
      <c r="B11066" s="5" t="s">
        <v>10315</v>
      </c>
      <c r="C11066" s="5" t="s">
        <v>11</v>
      </c>
      <c r="D11066" s="5" t="s">
        <v>12</v>
      </c>
      <c r="E11066" s="5" t="s">
        <v>2616</v>
      </c>
    </row>
    <row r="11067" spans="1:5" x14ac:dyDescent="0.25">
      <c r="A11067" s="5">
        <f>11059</f>
      </c>
      <c r="B11067" s="5" t="s">
        <v>10316</v>
      </c>
      <c r="C11067" s="5" t="s">
        <v>11</v>
      </c>
      <c r="D11067" s="5" t="s">
        <v>12</v>
      </c>
      <c r="E11067" s="5" t="s">
        <v>2616</v>
      </c>
    </row>
    <row r="11068" spans="1:5" x14ac:dyDescent="0.25">
      <c r="A11068" s="5">
        <f>11060</f>
      </c>
      <c r="B11068" s="5" t="s">
        <v>10317</v>
      </c>
      <c r="C11068" s="5" t="s">
        <v>11</v>
      </c>
      <c r="D11068" s="5" t="s">
        <v>12</v>
      </c>
      <c r="E11068" s="5" t="s">
        <v>2616</v>
      </c>
    </row>
    <row r="11069" spans="1:5" x14ac:dyDescent="0.25">
      <c r="A11069" s="5">
        <f>11061</f>
      </c>
      <c r="B11069" s="5" t="s">
        <v>10318</v>
      </c>
      <c r="C11069" s="5" t="s">
        <v>11</v>
      </c>
      <c r="D11069" s="5" t="s">
        <v>12</v>
      </c>
      <c r="E11069" s="5" t="s">
        <v>2616</v>
      </c>
    </row>
    <row r="11070" spans="1:5" x14ac:dyDescent="0.25">
      <c r="A11070" s="5">
        <f>11062</f>
      </c>
      <c r="B11070" s="5" t="s">
        <v>10319</v>
      </c>
      <c r="C11070" s="5" t="s">
        <v>11</v>
      </c>
      <c r="D11070" s="5" t="s">
        <v>12</v>
      </c>
      <c r="E11070" s="5" t="s">
        <v>2616</v>
      </c>
    </row>
    <row r="11071" spans="1:5" x14ac:dyDescent="0.25">
      <c r="A11071" s="5">
        <f>11063</f>
      </c>
      <c r="B11071" s="5" t="s">
        <v>10320</v>
      </c>
      <c r="C11071" s="5" t="s">
        <v>11</v>
      </c>
      <c r="D11071" s="5" t="s">
        <v>12</v>
      </c>
      <c r="E11071" s="5" t="s">
        <v>2616</v>
      </c>
    </row>
    <row r="11072" spans="1:5" x14ac:dyDescent="0.25">
      <c r="A11072" s="5">
        <f>11064</f>
      </c>
      <c r="B11072" s="5" t="s">
        <v>10321</v>
      </c>
      <c r="C11072" s="5" t="s">
        <v>11</v>
      </c>
      <c r="D11072" s="5" t="s">
        <v>12</v>
      </c>
      <c r="E11072" s="5" t="s">
        <v>2616</v>
      </c>
    </row>
    <row r="11073" spans="1:5" x14ac:dyDescent="0.25">
      <c r="A11073" s="5">
        <f>11065</f>
      </c>
      <c r="B11073" s="5" t="s">
        <v>10322</v>
      </c>
      <c r="C11073" s="5" t="s">
        <v>11</v>
      </c>
      <c r="D11073" s="5" t="s">
        <v>12</v>
      </c>
      <c r="E11073" s="5" t="s">
        <v>2616</v>
      </c>
    </row>
    <row r="11074" spans="1:5" x14ac:dyDescent="0.25">
      <c r="A11074" s="5">
        <f>11066</f>
      </c>
      <c r="B11074" s="5" t="s">
        <v>10323</v>
      </c>
      <c r="C11074" s="5" t="s">
        <v>11</v>
      </c>
      <c r="D11074" s="5" t="s">
        <v>12</v>
      </c>
      <c r="E11074" s="5" t="s">
        <v>2616</v>
      </c>
    </row>
    <row r="11075" spans="1:5" x14ac:dyDescent="0.25">
      <c r="A11075" s="5">
        <f>11067</f>
      </c>
      <c r="B11075" s="5" t="s">
        <v>10324</v>
      </c>
      <c r="C11075" s="5" t="s">
        <v>11</v>
      </c>
      <c r="D11075" s="5" t="s">
        <v>12</v>
      </c>
      <c r="E11075" s="5" t="s">
        <v>2616</v>
      </c>
    </row>
    <row r="11076" spans="1:5" x14ac:dyDescent="0.25">
      <c r="A11076" s="5">
        <f>11068</f>
      </c>
      <c r="B11076" s="5" t="s">
        <v>10325</v>
      </c>
      <c r="C11076" s="5" t="s">
        <v>11</v>
      </c>
      <c r="D11076" s="5" t="s">
        <v>12</v>
      </c>
      <c r="E11076" s="5" t="s">
        <v>2616</v>
      </c>
    </row>
    <row r="11077" spans="1:5" x14ac:dyDescent="0.25">
      <c r="A11077" s="5">
        <f>11069</f>
      </c>
      <c r="B11077" s="5" t="s">
        <v>10326</v>
      </c>
      <c r="C11077" s="5" t="s">
        <v>11</v>
      </c>
      <c r="D11077" s="5" t="s">
        <v>12</v>
      </c>
      <c r="E11077" s="5" t="s">
        <v>2616</v>
      </c>
    </row>
    <row r="11078" spans="1:5" x14ac:dyDescent="0.25">
      <c r="A11078" s="5">
        <f>11070</f>
      </c>
      <c r="B11078" s="5" t="s">
        <v>10327</v>
      </c>
      <c r="C11078" s="5" t="s">
        <v>11</v>
      </c>
      <c r="D11078" s="5" t="s">
        <v>12</v>
      </c>
      <c r="E11078" s="5" t="s">
        <v>2616</v>
      </c>
    </row>
    <row r="11079" spans="1:5" x14ac:dyDescent="0.25">
      <c r="A11079" s="5">
        <f>11071</f>
      </c>
      <c r="B11079" s="5" t="s">
        <v>10328</v>
      </c>
      <c r="C11079" s="5" t="s">
        <v>11</v>
      </c>
      <c r="D11079" s="5" t="s">
        <v>12</v>
      </c>
      <c r="E11079" s="5" t="s">
        <v>2616</v>
      </c>
    </row>
    <row r="11080" spans="1:5" x14ac:dyDescent="0.25">
      <c r="A11080" s="5">
        <f>11072</f>
      </c>
      <c r="B11080" s="5" t="s">
        <v>10329</v>
      </c>
      <c r="C11080" s="5" t="s">
        <v>11</v>
      </c>
      <c r="D11080" s="5" t="s">
        <v>12</v>
      </c>
      <c r="E11080" s="5" t="s">
        <v>2616</v>
      </c>
    </row>
    <row r="11081" spans="1:5" x14ac:dyDescent="0.25">
      <c r="A11081" s="5">
        <f>11073</f>
      </c>
      <c r="B11081" s="5" t="s">
        <v>10330</v>
      </c>
      <c r="C11081" s="5" t="s">
        <v>11</v>
      </c>
      <c r="D11081" s="5" t="s">
        <v>12</v>
      </c>
      <c r="E11081" s="5" t="s">
        <v>2616</v>
      </c>
    </row>
    <row r="11082" spans="1:5" x14ac:dyDescent="0.25">
      <c r="A11082" s="5">
        <f>11074</f>
      </c>
      <c r="B11082" s="5" t="s">
        <v>10331</v>
      </c>
      <c r="C11082" s="5" t="s">
        <v>11</v>
      </c>
      <c r="D11082" s="5" t="s">
        <v>12</v>
      </c>
      <c r="E11082" s="5" t="s">
        <v>2616</v>
      </c>
    </row>
    <row r="11083" spans="1:5" x14ac:dyDescent="0.25">
      <c r="A11083" s="5">
        <f>11075</f>
      </c>
      <c r="B11083" s="5" t="s">
        <v>10332</v>
      </c>
      <c r="C11083" s="5" t="s">
        <v>11</v>
      </c>
      <c r="D11083" s="5" t="s">
        <v>12</v>
      </c>
      <c r="E11083" s="5" t="s">
        <v>2616</v>
      </c>
    </row>
    <row r="11084" spans="1:5" x14ac:dyDescent="0.25">
      <c r="A11084" s="5">
        <f>11076</f>
      </c>
      <c r="B11084" s="5" t="s">
        <v>10333</v>
      </c>
      <c r="C11084" s="5" t="s">
        <v>11</v>
      </c>
      <c r="D11084" s="5" t="s">
        <v>12</v>
      </c>
      <c r="E11084" s="5" t="s">
        <v>2616</v>
      </c>
    </row>
    <row r="11085" spans="1:5" x14ac:dyDescent="0.25">
      <c r="A11085" s="5">
        <f>11077</f>
      </c>
      <c r="B11085" s="5" t="s">
        <v>10334</v>
      </c>
      <c r="C11085" s="5" t="s">
        <v>11</v>
      </c>
      <c r="D11085" s="5" t="s">
        <v>12</v>
      </c>
      <c r="E11085" s="5" t="s">
        <v>2616</v>
      </c>
    </row>
    <row r="11086" spans="1:5" x14ac:dyDescent="0.25">
      <c r="A11086" s="5">
        <f>11078</f>
      </c>
      <c r="B11086" s="5" t="s">
        <v>10335</v>
      </c>
      <c r="C11086" s="5" t="s">
        <v>11</v>
      </c>
      <c r="D11086" s="5" t="s">
        <v>12</v>
      </c>
      <c r="E11086" s="5" t="s">
        <v>2616</v>
      </c>
    </row>
    <row r="11087" spans="1:5" x14ac:dyDescent="0.25">
      <c r="A11087" s="5">
        <f>11079</f>
      </c>
      <c r="B11087" s="5" t="s">
        <v>10336</v>
      </c>
      <c r="C11087" s="5" t="s">
        <v>11</v>
      </c>
      <c r="D11087" s="5" t="s">
        <v>12</v>
      </c>
      <c r="E11087" s="5" t="s">
        <v>2616</v>
      </c>
    </row>
    <row r="11088" spans="1:5" x14ac:dyDescent="0.25">
      <c r="A11088" s="5">
        <f>11080</f>
      </c>
      <c r="B11088" s="5" t="s">
        <v>10337</v>
      </c>
      <c r="C11088" s="5" t="s">
        <v>11</v>
      </c>
      <c r="D11088" s="5" t="s">
        <v>12</v>
      </c>
      <c r="E11088" s="5" t="s">
        <v>2616</v>
      </c>
    </row>
    <row r="11089" spans="1:5" x14ac:dyDescent="0.25">
      <c r="A11089" s="5">
        <f>11081</f>
      </c>
      <c r="B11089" s="5" t="s">
        <v>10338</v>
      </c>
      <c r="C11089" s="5" t="s">
        <v>11</v>
      </c>
      <c r="D11089" s="5" t="s">
        <v>12</v>
      </c>
      <c r="E11089" s="5" t="s">
        <v>2616</v>
      </c>
    </row>
    <row r="11090" spans="1:5" x14ac:dyDescent="0.25">
      <c r="A11090" s="5">
        <f>11082</f>
      </c>
      <c r="B11090" s="5" t="s">
        <v>10339</v>
      </c>
      <c r="C11090" s="5" t="s">
        <v>11</v>
      </c>
      <c r="D11090" s="5" t="s">
        <v>12</v>
      </c>
      <c r="E11090" s="5" t="s">
        <v>2616</v>
      </c>
    </row>
    <row r="11091" spans="1:5" x14ac:dyDescent="0.25">
      <c r="A11091" s="5">
        <f>11083</f>
      </c>
      <c r="B11091" s="5" t="s">
        <v>10340</v>
      </c>
      <c r="C11091" s="5" t="s">
        <v>11</v>
      </c>
      <c r="D11091" s="5" t="s">
        <v>12</v>
      </c>
      <c r="E11091" s="5" t="s">
        <v>2616</v>
      </c>
    </row>
    <row r="11092" spans="1:5" x14ac:dyDescent="0.25">
      <c r="A11092" s="5">
        <f>11084</f>
      </c>
      <c r="B11092" s="5" t="s">
        <v>10341</v>
      </c>
      <c r="C11092" s="5" t="s">
        <v>11</v>
      </c>
      <c r="D11092" s="5" t="s">
        <v>12</v>
      </c>
      <c r="E11092" s="5" t="s">
        <v>2616</v>
      </c>
    </row>
    <row r="11093" spans="1:5" x14ac:dyDescent="0.25">
      <c r="A11093" s="5">
        <f>11085</f>
      </c>
      <c r="B11093" s="5" t="s">
        <v>10342</v>
      </c>
      <c r="C11093" s="5" t="s">
        <v>11</v>
      </c>
      <c r="D11093" s="5" t="s">
        <v>12</v>
      </c>
      <c r="E11093" s="5" t="s">
        <v>2616</v>
      </c>
    </row>
    <row r="11094" spans="1:5" x14ac:dyDescent="0.25">
      <c r="A11094" s="5">
        <f>11086</f>
      </c>
      <c r="B11094" s="5" t="s">
        <v>10343</v>
      </c>
      <c r="C11094" s="5" t="s">
        <v>11</v>
      </c>
      <c r="D11094" s="5" t="s">
        <v>12</v>
      </c>
      <c r="E11094" s="5" t="s">
        <v>2616</v>
      </c>
    </row>
    <row r="11095" spans="1:5" x14ac:dyDescent="0.25">
      <c r="A11095" s="5">
        <f>11087</f>
      </c>
      <c r="B11095" s="5" t="s">
        <v>10344</v>
      </c>
      <c r="C11095" s="5" t="s">
        <v>11</v>
      </c>
      <c r="D11095" s="5" t="s">
        <v>12</v>
      </c>
      <c r="E11095" s="5" t="s">
        <v>2616</v>
      </c>
    </row>
    <row r="11096" spans="1:5" x14ac:dyDescent="0.25">
      <c r="A11096" s="5">
        <f>11088</f>
      </c>
      <c r="B11096" s="5" t="s">
        <v>10345</v>
      </c>
      <c r="C11096" s="5" t="s">
        <v>11</v>
      </c>
      <c r="D11096" s="5" t="s">
        <v>12</v>
      </c>
      <c r="E11096" s="5" t="s">
        <v>2616</v>
      </c>
    </row>
    <row r="11097" spans="1:5" x14ac:dyDescent="0.25">
      <c r="A11097" s="5">
        <f>11089</f>
      </c>
      <c r="B11097" s="5" t="s">
        <v>10346</v>
      </c>
      <c r="C11097" s="5" t="s">
        <v>11</v>
      </c>
      <c r="D11097" s="5" t="s">
        <v>12</v>
      </c>
      <c r="E11097" s="5" t="s">
        <v>2616</v>
      </c>
    </row>
    <row r="11098" spans="1:5" x14ac:dyDescent="0.25">
      <c r="A11098" s="5">
        <f>11090</f>
      </c>
      <c r="B11098" s="5" t="s">
        <v>10347</v>
      </c>
      <c r="C11098" s="5" t="s">
        <v>11</v>
      </c>
      <c r="D11098" s="5" t="s">
        <v>12</v>
      </c>
      <c r="E11098" s="5" t="s">
        <v>2616</v>
      </c>
    </row>
    <row r="11099" spans="1:5" x14ac:dyDescent="0.25">
      <c r="A11099" s="5">
        <f>11091</f>
      </c>
      <c r="B11099" s="5" t="s">
        <v>10348</v>
      </c>
      <c r="C11099" s="5" t="s">
        <v>11</v>
      </c>
      <c r="D11099" s="5" t="s">
        <v>12</v>
      </c>
      <c r="E11099" s="5" t="s">
        <v>2616</v>
      </c>
    </row>
    <row r="11100" spans="1:5" x14ac:dyDescent="0.25">
      <c r="A11100" s="5">
        <f>11092</f>
      </c>
      <c r="B11100" s="5" t="s">
        <v>10349</v>
      </c>
      <c r="C11100" s="5" t="s">
        <v>11</v>
      </c>
      <c r="D11100" s="5" t="s">
        <v>12</v>
      </c>
      <c r="E11100" s="5" t="s">
        <v>2616</v>
      </c>
    </row>
    <row r="11101" spans="1:5" x14ac:dyDescent="0.25">
      <c r="A11101" s="5">
        <f>11093</f>
      </c>
      <c r="B11101" s="5" t="s">
        <v>10350</v>
      </c>
      <c r="C11101" s="5" t="s">
        <v>11</v>
      </c>
      <c r="D11101" s="5" t="s">
        <v>12</v>
      </c>
      <c r="E11101" s="5" t="s">
        <v>2616</v>
      </c>
    </row>
    <row r="11102" spans="1:5" x14ac:dyDescent="0.25">
      <c r="A11102" s="5">
        <f>11094</f>
      </c>
      <c r="B11102" s="5" t="s">
        <v>10351</v>
      </c>
      <c r="C11102" s="5" t="s">
        <v>11</v>
      </c>
      <c r="D11102" s="5" t="s">
        <v>12</v>
      </c>
      <c r="E11102" s="5" t="s">
        <v>2616</v>
      </c>
    </row>
    <row r="11103" spans="1:5" x14ac:dyDescent="0.25">
      <c r="A11103" s="5">
        <f>11095</f>
      </c>
      <c r="B11103" s="5" t="s">
        <v>10352</v>
      </c>
      <c r="C11103" s="5" t="s">
        <v>11</v>
      </c>
      <c r="D11103" s="5" t="s">
        <v>12</v>
      </c>
      <c r="E11103" s="5" t="s">
        <v>2616</v>
      </c>
    </row>
    <row r="11104" spans="1:5" x14ac:dyDescent="0.25">
      <c r="A11104" s="5">
        <f>11096</f>
      </c>
      <c r="B11104" s="5" t="s">
        <v>10353</v>
      </c>
      <c r="C11104" s="5" t="s">
        <v>11</v>
      </c>
      <c r="D11104" s="5" t="s">
        <v>12</v>
      </c>
      <c r="E11104" s="5" t="s">
        <v>2616</v>
      </c>
    </row>
    <row r="11105" spans="1:5" x14ac:dyDescent="0.25">
      <c r="A11105" s="5">
        <f>11097</f>
      </c>
      <c r="B11105" s="5" t="s">
        <v>10354</v>
      </c>
      <c r="C11105" s="5" t="s">
        <v>11</v>
      </c>
      <c r="D11105" s="5" t="s">
        <v>12</v>
      </c>
      <c r="E11105" s="5" t="s">
        <v>2616</v>
      </c>
    </row>
    <row r="11106" spans="1:5" x14ac:dyDescent="0.25">
      <c r="A11106" s="5">
        <f>11098</f>
      </c>
      <c r="B11106" s="5" t="s">
        <v>10355</v>
      </c>
      <c r="C11106" s="5" t="s">
        <v>11</v>
      </c>
      <c r="D11106" s="5" t="s">
        <v>12</v>
      </c>
      <c r="E11106" s="5" t="s">
        <v>2616</v>
      </c>
    </row>
    <row r="11107" spans="1:5" x14ac:dyDescent="0.25">
      <c r="A11107" s="5">
        <f>11099</f>
      </c>
      <c r="B11107" s="5" t="s">
        <v>10356</v>
      </c>
      <c r="C11107" s="5" t="s">
        <v>11</v>
      </c>
      <c r="D11107" s="5" t="s">
        <v>12</v>
      </c>
      <c r="E11107" s="5" t="s">
        <v>2616</v>
      </c>
    </row>
    <row r="11108" spans="1:5" x14ac:dyDescent="0.25">
      <c r="A11108" s="5">
        <f>11100</f>
      </c>
      <c r="B11108" s="5" t="s">
        <v>10357</v>
      </c>
      <c r="C11108" s="5" t="s">
        <v>11</v>
      </c>
      <c r="D11108" s="5" t="s">
        <v>12</v>
      </c>
      <c r="E11108" s="5" t="s">
        <v>2616</v>
      </c>
    </row>
    <row r="11109" spans="1:5" x14ac:dyDescent="0.25">
      <c r="A11109" s="5">
        <f>11101</f>
      </c>
      <c r="B11109" s="5" t="s">
        <v>10358</v>
      </c>
      <c r="C11109" s="5" t="s">
        <v>11</v>
      </c>
      <c r="D11109" s="5" t="s">
        <v>12</v>
      </c>
      <c r="E11109" s="5" t="s">
        <v>3608</v>
      </c>
    </row>
    <row r="11110" spans="1:5" x14ac:dyDescent="0.25">
      <c r="A11110" s="5">
        <f>11102</f>
      </c>
      <c r="B11110" s="5" t="s">
        <v>10359</v>
      </c>
      <c r="C11110" s="5" t="s">
        <v>11</v>
      </c>
      <c r="D11110" s="5" t="s">
        <v>12</v>
      </c>
      <c r="E11110" s="5" t="s">
        <v>3608</v>
      </c>
    </row>
    <row r="11111" spans="1:5" x14ac:dyDescent="0.25">
      <c r="A11111" s="5">
        <f>11103</f>
      </c>
      <c r="B11111" s="5" t="s">
        <v>10360</v>
      </c>
      <c r="C11111" s="5" t="s">
        <v>11</v>
      </c>
      <c r="D11111" s="5" t="s">
        <v>12</v>
      </c>
      <c r="E11111" s="5" t="s">
        <v>3608</v>
      </c>
    </row>
    <row r="11112" spans="1:5" x14ac:dyDescent="0.25">
      <c r="A11112" s="5">
        <f>11104</f>
      </c>
      <c r="B11112" s="5" t="s">
        <v>10361</v>
      </c>
      <c r="C11112" s="5" t="s">
        <v>11</v>
      </c>
      <c r="D11112" s="5" t="s">
        <v>12</v>
      </c>
      <c r="E11112" s="5" t="s">
        <v>3608</v>
      </c>
    </row>
    <row r="11113" spans="1:5" x14ac:dyDescent="0.25">
      <c r="A11113" s="5">
        <f>11105</f>
      </c>
      <c r="B11113" s="5" t="s">
        <v>10362</v>
      </c>
      <c r="C11113" s="5" t="s">
        <v>11</v>
      </c>
      <c r="D11113" s="5" t="s">
        <v>12</v>
      </c>
      <c r="E11113" s="5" t="s">
        <v>3608</v>
      </c>
    </row>
    <row r="11114" spans="1:5" x14ac:dyDescent="0.25">
      <c r="A11114" s="5">
        <f>11106</f>
      </c>
      <c r="B11114" s="5" t="s">
        <v>10363</v>
      </c>
      <c r="C11114" s="5" t="s">
        <v>11</v>
      </c>
      <c r="D11114" s="5" t="s">
        <v>12</v>
      </c>
      <c r="E11114" s="5" t="s">
        <v>3608</v>
      </c>
    </row>
    <row r="11115" spans="1:5" x14ac:dyDescent="0.25">
      <c r="A11115" s="5">
        <f>11107</f>
      </c>
      <c r="B11115" s="5" t="s">
        <v>10364</v>
      </c>
      <c r="C11115" s="5" t="s">
        <v>11</v>
      </c>
      <c r="D11115" s="5" t="s">
        <v>12</v>
      </c>
      <c r="E11115" s="5" t="s">
        <v>3608</v>
      </c>
    </row>
    <row r="11116" spans="1:5" x14ac:dyDescent="0.25">
      <c r="A11116" s="5">
        <f>11108</f>
      </c>
      <c r="B11116" s="5" t="s">
        <v>10365</v>
      </c>
      <c r="C11116" s="5" t="s">
        <v>11</v>
      </c>
      <c r="D11116" s="5" t="s">
        <v>12</v>
      </c>
      <c r="E11116" s="5" t="s">
        <v>3608</v>
      </c>
    </row>
    <row r="11117" spans="1:5" x14ac:dyDescent="0.25">
      <c r="A11117" s="5">
        <f>11109</f>
      </c>
      <c r="B11117" s="5" t="s">
        <v>10366</v>
      </c>
      <c r="C11117" s="5" t="s">
        <v>11</v>
      </c>
      <c r="D11117" s="5" t="s">
        <v>12</v>
      </c>
      <c r="E11117" s="5" t="s">
        <v>3608</v>
      </c>
    </row>
    <row r="11118" spans="1:5" x14ac:dyDescent="0.25">
      <c r="A11118" s="5">
        <f>11110</f>
      </c>
      <c r="B11118" s="5" t="s">
        <v>10367</v>
      </c>
      <c r="C11118" s="5" t="s">
        <v>11</v>
      </c>
      <c r="D11118" s="5" t="s">
        <v>12</v>
      </c>
      <c r="E11118" s="5" t="s">
        <v>3608</v>
      </c>
    </row>
    <row r="11119" spans="1:5" x14ac:dyDescent="0.25">
      <c r="A11119" s="5">
        <f>11111</f>
      </c>
      <c r="B11119" s="5" t="s">
        <v>10368</v>
      </c>
      <c r="C11119" s="5" t="s">
        <v>11</v>
      </c>
      <c r="D11119" s="5" t="s">
        <v>12</v>
      </c>
      <c r="E11119" s="5" t="s">
        <v>3608</v>
      </c>
    </row>
    <row r="11120" spans="1:5" x14ac:dyDescent="0.25">
      <c r="A11120" s="5">
        <f>11112</f>
      </c>
      <c r="B11120" s="5" t="s">
        <v>10369</v>
      </c>
      <c r="C11120" s="5" t="s">
        <v>11</v>
      </c>
      <c r="D11120" s="5" t="s">
        <v>12</v>
      </c>
      <c r="E11120" s="5" t="s">
        <v>3608</v>
      </c>
    </row>
    <row r="11121" spans="1:5" x14ac:dyDescent="0.25">
      <c r="A11121" s="5">
        <f>11113</f>
      </c>
      <c r="B11121" s="5" t="s">
        <v>10370</v>
      </c>
      <c r="C11121" s="5" t="s">
        <v>11</v>
      </c>
      <c r="D11121" s="5" t="s">
        <v>12</v>
      </c>
      <c r="E11121" s="5" t="s">
        <v>3608</v>
      </c>
    </row>
    <row r="11122" spans="1:5" x14ac:dyDescent="0.25">
      <c r="A11122" s="5">
        <f>11114</f>
      </c>
      <c r="B11122" s="5" t="s">
        <v>10371</v>
      </c>
      <c r="C11122" s="5" t="s">
        <v>11</v>
      </c>
      <c r="D11122" s="5" t="s">
        <v>12</v>
      </c>
      <c r="E11122" s="5" t="s">
        <v>3608</v>
      </c>
    </row>
    <row r="11123" spans="1:5" x14ac:dyDescent="0.25">
      <c r="A11123" s="5">
        <f>11115</f>
      </c>
      <c r="B11123" s="5" t="s">
        <v>10372</v>
      </c>
      <c r="C11123" s="5" t="s">
        <v>11</v>
      </c>
      <c r="D11123" s="5" t="s">
        <v>12</v>
      </c>
      <c r="E11123" s="5" t="s">
        <v>3608</v>
      </c>
    </row>
    <row r="11124" spans="1:5" x14ac:dyDescent="0.25">
      <c r="A11124" s="5">
        <f>11116</f>
      </c>
      <c r="B11124" s="5" t="s">
        <v>10373</v>
      </c>
      <c r="C11124" s="5" t="s">
        <v>11</v>
      </c>
      <c r="D11124" s="5" t="s">
        <v>12</v>
      </c>
      <c r="E11124" s="5" t="s">
        <v>3608</v>
      </c>
    </row>
    <row r="11125" spans="1:5" x14ac:dyDescent="0.25">
      <c r="A11125" s="5">
        <f>11117</f>
      </c>
      <c r="B11125" s="5" t="s">
        <v>10374</v>
      </c>
      <c r="C11125" s="5" t="s">
        <v>11</v>
      </c>
      <c r="D11125" s="5" t="s">
        <v>12</v>
      </c>
      <c r="E11125" s="5" t="s">
        <v>3608</v>
      </c>
    </row>
    <row r="11126" spans="1:5" x14ac:dyDescent="0.25">
      <c r="A11126" s="5">
        <f>11118</f>
      </c>
      <c r="B11126" s="5" t="s">
        <v>10375</v>
      </c>
      <c r="C11126" s="5" t="s">
        <v>11</v>
      </c>
      <c r="D11126" s="5" t="s">
        <v>12</v>
      </c>
      <c r="E11126" s="5" t="s">
        <v>3608</v>
      </c>
    </row>
    <row r="11127" spans="1:5" x14ac:dyDescent="0.25">
      <c r="A11127" s="5">
        <f>11119</f>
      </c>
      <c r="B11127" s="5" t="s">
        <v>10376</v>
      </c>
      <c r="C11127" s="5" t="s">
        <v>11</v>
      </c>
      <c r="D11127" s="5" t="s">
        <v>12</v>
      </c>
      <c r="E11127" s="5" t="s">
        <v>3608</v>
      </c>
    </row>
    <row r="11128" spans="1:5" x14ac:dyDescent="0.25">
      <c r="A11128" s="5">
        <f>11120</f>
      </c>
      <c r="B11128" s="5" t="s">
        <v>10377</v>
      </c>
      <c r="C11128" s="5" t="s">
        <v>11</v>
      </c>
      <c r="D11128" s="5" t="s">
        <v>12</v>
      </c>
      <c r="E11128" s="5" t="s">
        <v>3608</v>
      </c>
    </row>
    <row r="11129" spans="1:5" x14ac:dyDescent="0.25">
      <c r="A11129" s="5">
        <f>11121</f>
      </c>
      <c r="B11129" s="5" t="s">
        <v>10378</v>
      </c>
      <c r="C11129" s="5" t="s">
        <v>11</v>
      </c>
      <c r="D11129" s="5" t="s">
        <v>12</v>
      </c>
      <c r="E11129" s="5" t="s">
        <v>3608</v>
      </c>
    </row>
    <row r="11130" spans="1:5" x14ac:dyDescent="0.25">
      <c r="A11130" s="5">
        <f>11122</f>
      </c>
      <c r="B11130" s="5" t="s">
        <v>10379</v>
      </c>
      <c r="C11130" s="5" t="s">
        <v>11</v>
      </c>
      <c r="D11130" s="5" t="s">
        <v>12</v>
      </c>
      <c r="E11130" s="5" t="s">
        <v>3608</v>
      </c>
    </row>
    <row r="11131" spans="1:5" x14ac:dyDescent="0.25">
      <c r="A11131" s="5">
        <f>11123</f>
      </c>
      <c r="B11131" s="5" t="s">
        <v>10380</v>
      </c>
      <c r="C11131" s="5" t="s">
        <v>11</v>
      </c>
      <c r="D11131" s="5" t="s">
        <v>12</v>
      </c>
      <c r="E11131" s="5" t="s">
        <v>3608</v>
      </c>
    </row>
    <row r="11132" spans="1:5" x14ac:dyDescent="0.25">
      <c r="A11132" s="5">
        <f>11124</f>
      </c>
      <c r="B11132" s="5" t="s">
        <v>10381</v>
      </c>
      <c r="C11132" s="5" t="s">
        <v>11</v>
      </c>
      <c r="D11132" s="5" t="s">
        <v>12</v>
      </c>
      <c r="E11132" s="5" t="s">
        <v>3608</v>
      </c>
    </row>
    <row r="11133" spans="1:5" x14ac:dyDescent="0.25">
      <c r="A11133" s="5">
        <f>11125</f>
      </c>
      <c r="B11133" s="5" t="s">
        <v>10382</v>
      </c>
      <c r="C11133" s="5" t="s">
        <v>11</v>
      </c>
      <c r="D11133" s="5" t="s">
        <v>12</v>
      </c>
      <c r="E11133" s="5" t="s">
        <v>3608</v>
      </c>
    </row>
    <row r="11134" spans="1:5" x14ac:dyDescent="0.25">
      <c r="A11134" s="5">
        <f>11126</f>
      </c>
      <c r="B11134" s="5" t="s">
        <v>10383</v>
      </c>
      <c r="C11134" s="5" t="s">
        <v>11</v>
      </c>
      <c r="D11134" s="5" t="s">
        <v>12</v>
      </c>
      <c r="E11134" s="5" t="s">
        <v>3608</v>
      </c>
    </row>
    <row r="11135" spans="1:5" x14ac:dyDescent="0.25">
      <c r="A11135" s="5">
        <f>11127</f>
      </c>
      <c r="B11135" s="5" t="s">
        <v>10384</v>
      </c>
      <c r="C11135" s="5" t="s">
        <v>11</v>
      </c>
      <c r="D11135" s="5" t="s">
        <v>12</v>
      </c>
      <c r="E11135" s="5" t="s">
        <v>3608</v>
      </c>
    </row>
    <row r="11136" spans="1:5" x14ac:dyDescent="0.25">
      <c r="A11136" s="5">
        <f>11128</f>
      </c>
      <c r="B11136" s="5" t="s">
        <v>10385</v>
      </c>
      <c r="C11136" s="5" t="s">
        <v>11</v>
      </c>
      <c r="D11136" s="5" t="s">
        <v>12</v>
      </c>
      <c r="E11136" s="5" t="s">
        <v>3608</v>
      </c>
    </row>
    <row r="11137" spans="1:5" x14ac:dyDescent="0.25">
      <c r="A11137" s="5">
        <f>11129</f>
      </c>
      <c r="B11137" s="5" t="s">
        <v>10386</v>
      </c>
      <c r="C11137" s="5" t="s">
        <v>11</v>
      </c>
      <c r="D11137" s="5" t="s">
        <v>12</v>
      </c>
      <c r="E11137" s="5" t="s">
        <v>3608</v>
      </c>
    </row>
    <row r="11138" spans="1:5" x14ac:dyDescent="0.25">
      <c r="A11138" s="5">
        <f>11130</f>
      </c>
      <c r="B11138" s="5" t="s">
        <v>10387</v>
      </c>
      <c r="C11138" s="5" t="s">
        <v>11</v>
      </c>
      <c r="D11138" s="5" t="s">
        <v>12</v>
      </c>
      <c r="E11138" s="5" t="s">
        <v>3608</v>
      </c>
    </row>
    <row r="11139" spans="1:5" x14ac:dyDescent="0.25">
      <c r="A11139" s="5">
        <f>11131</f>
      </c>
      <c r="B11139" s="5" t="s">
        <v>10388</v>
      </c>
      <c r="C11139" s="5" t="s">
        <v>11</v>
      </c>
      <c r="D11139" s="5" t="s">
        <v>12</v>
      </c>
      <c r="E11139" s="5" t="s">
        <v>3608</v>
      </c>
    </row>
    <row r="11140" spans="1:5" x14ac:dyDescent="0.25">
      <c r="A11140" s="5">
        <f>11132</f>
      </c>
      <c r="B11140" s="5" t="s">
        <v>10389</v>
      </c>
      <c r="C11140" s="5" t="s">
        <v>11</v>
      </c>
      <c r="D11140" s="5" t="s">
        <v>12</v>
      </c>
      <c r="E11140" s="5" t="s">
        <v>3608</v>
      </c>
    </row>
    <row r="11141" spans="1:5" x14ac:dyDescent="0.25">
      <c r="A11141" s="5">
        <f>11133</f>
      </c>
      <c r="B11141" s="5" t="s">
        <v>10390</v>
      </c>
      <c r="C11141" s="5" t="s">
        <v>11</v>
      </c>
      <c r="D11141" s="5" t="s">
        <v>12</v>
      </c>
      <c r="E11141" s="5" t="s">
        <v>3608</v>
      </c>
    </row>
    <row r="11142" spans="1:5" x14ac:dyDescent="0.25">
      <c r="A11142" s="5">
        <f>11134</f>
      </c>
      <c r="B11142" s="5" t="s">
        <v>10391</v>
      </c>
      <c r="C11142" s="5" t="s">
        <v>11</v>
      </c>
      <c r="D11142" s="5" t="s">
        <v>12</v>
      </c>
      <c r="E11142" s="5" t="s">
        <v>3608</v>
      </c>
    </row>
    <row r="11143" spans="1:5" x14ac:dyDescent="0.25">
      <c r="A11143" s="5">
        <f>11135</f>
      </c>
      <c r="B11143" s="5" t="s">
        <v>10392</v>
      </c>
      <c r="C11143" s="5" t="s">
        <v>11</v>
      </c>
      <c r="D11143" s="5" t="s">
        <v>12</v>
      </c>
      <c r="E11143" s="5" t="s">
        <v>3608</v>
      </c>
    </row>
    <row r="11144" spans="1:5" x14ac:dyDescent="0.25">
      <c r="A11144" s="5">
        <f>11136</f>
      </c>
      <c r="B11144" s="5" t="s">
        <v>10393</v>
      </c>
      <c r="C11144" s="5" t="s">
        <v>11</v>
      </c>
      <c r="D11144" s="5" t="s">
        <v>12</v>
      </c>
      <c r="E11144" s="5" t="s">
        <v>3608</v>
      </c>
    </row>
    <row r="11145" spans="1:5" x14ac:dyDescent="0.25">
      <c r="A11145" s="5">
        <f>11137</f>
      </c>
      <c r="B11145" s="5" t="s">
        <v>10394</v>
      </c>
      <c r="C11145" s="5" t="s">
        <v>11</v>
      </c>
      <c r="D11145" s="5" t="s">
        <v>12</v>
      </c>
      <c r="E11145" s="5" t="s">
        <v>3608</v>
      </c>
    </row>
    <row r="11146" spans="1:5" x14ac:dyDescent="0.25">
      <c r="A11146" s="5">
        <f>11138</f>
      </c>
      <c r="B11146" s="5" t="s">
        <v>10395</v>
      </c>
      <c r="C11146" s="5" t="s">
        <v>11</v>
      </c>
      <c r="D11146" s="5" t="s">
        <v>12</v>
      </c>
      <c r="E11146" s="5" t="s">
        <v>3608</v>
      </c>
    </row>
    <row r="11147" spans="1:5" x14ac:dyDescent="0.25">
      <c r="A11147" s="5">
        <f>11139</f>
      </c>
      <c r="B11147" s="5" t="s">
        <v>10396</v>
      </c>
      <c r="C11147" s="5" t="s">
        <v>11</v>
      </c>
      <c r="D11147" s="5" t="s">
        <v>12</v>
      </c>
      <c r="E11147" s="5" t="s">
        <v>3608</v>
      </c>
    </row>
    <row r="11148" spans="1:5" x14ac:dyDescent="0.25">
      <c r="A11148" s="5">
        <f>11140</f>
      </c>
      <c r="B11148" s="5" t="s">
        <v>10397</v>
      </c>
      <c r="C11148" s="5" t="s">
        <v>11</v>
      </c>
      <c r="D11148" s="5" t="s">
        <v>12</v>
      </c>
      <c r="E11148" s="5" t="s">
        <v>3608</v>
      </c>
    </row>
    <row r="11149" spans="1:5" x14ac:dyDescent="0.25">
      <c r="A11149" s="5">
        <f>11141</f>
      </c>
      <c r="B11149" s="5" t="s">
        <v>10398</v>
      </c>
      <c r="C11149" s="5" t="s">
        <v>11</v>
      </c>
      <c r="D11149" s="5" t="s">
        <v>12</v>
      </c>
      <c r="E11149" s="5" t="s">
        <v>3608</v>
      </c>
    </row>
    <row r="11150" spans="1:5" x14ac:dyDescent="0.25">
      <c r="A11150" s="5">
        <f>11142</f>
      </c>
      <c r="B11150" s="5" t="s">
        <v>10399</v>
      </c>
      <c r="C11150" s="5" t="s">
        <v>11</v>
      </c>
      <c r="D11150" s="5" t="s">
        <v>12</v>
      </c>
      <c r="E11150" s="5" t="s">
        <v>3608</v>
      </c>
    </row>
    <row r="11151" spans="1:5" x14ac:dyDescent="0.25">
      <c r="A11151" s="5">
        <f>11143</f>
      </c>
      <c r="B11151" s="5" t="s">
        <v>10400</v>
      </c>
      <c r="C11151" s="5" t="s">
        <v>11</v>
      </c>
      <c r="D11151" s="5" t="s">
        <v>12</v>
      </c>
      <c r="E11151" s="5" t="s">
        <v>3608</v>
      </c>
    </row>
    <row r="11152" spans="1:5" x14ac:dyDescent="0.25">
      <c r="A11152" s="5">
        <f>11144</f>
      </c>
      <c r="B11152" s="5" t="s">
        <v>10401</v>
      </c>
      <c r="C11152" s="5" t="s">
        <v>11</v>
      </c>
      <c r="D11152" s="5" t="s">
        <v>12</v>
      </c>
      <c r="E11152" s="5" t="s">
        <v>3608</v>
      </c>
    </row>
    <row r="11153" spans="1:5" x14ac:dyDescent="0.25">
      <c r="A11153" s="5">
        <f>11145</f>
      </c>
      <c r="B11153" s="5" t="s">
        <v>10402</v>
      </c>
      <c r="C11153" s="5" t="s">
        <v>11</v>
      </c>
      <c r="D11153" s="5" t="s">
        <v>12</v>
      </c>
      <c r="E11153" s="5" t="s">
        <v>3608</v>
      </c>
    </row>
    <row r="11154" spans="1:5" x14ac:dyDescent="0.25">
      <c r="A11154" s="5">
        <f>11146</f>
      </c>
      <c r="B11154" s="5" t="s">
        <v>10403</v>
      </c>
      <c r="C11154" s="5" t="s">
        <v>11</v>
      </c>
      <c r="D11154" s="5" t="s">
        <v>12</v>
      </c>
      <c r="E11154" s="5" t="s">
        <v>3608</v>
      </c>
    </row>
    <row r="11155" spans="1:5" x14ac:dyDescent="0.25">
      <c r="A11155" s="5">
        <f>11147</f>
      </c>
      <c r="B11155" s="5" t="s">
        <v>10404</v>
      </c>
      <c r="C11155" s="5" t="s">
        <v>11</v>
      </c>
      <c r="D11155" s="5" t="s">
        <v>12</v>
      </c>
      <c r="E11155" s="5" t="s">
        <v>3608</v>
      </c>
    </row>
    <row r="11156" spans="1:5" x14ac:dyDescent="0.25">
      <c r="A11156" s="5">
        <f>11148</f>
      </c>
      <c r="B11156" s="5" t="s">
        <v>10405</v>
      </c>
      <c r="C11156" s="5" t="s">
        <v>11</v>
      </c>
      <c r="D11156" s="5" t="s">
        <v>12</v>
      </c>
      <c r="E11156" s="5" t="s">
        <v>3608</v>
      </c>
    </row>
    <row r="11157" spans="1:5" x14ac:dyDescent="0.25">
      <c r="A11157" s="5">
        <f>11149</f>
      </c>
      <c r="B11157" s="5" t="s">
        <v>10406</v>
      </c>
      <c r="C11157" s="5" t="s">
        <v>11</v>
      </c>
      <c r="D11157" s="5" t="s">
        <v>12</v>
      </c>
      <c r="E11157" s="5" t="s">
        <v>3608</v>
      </c>
    </row>
    <row r="11158" spans="1:5" x14ac:dyDescent="0.25">
      <c r="A11158" s="5">
        <f>11150</f>
      </c>
      <c r="B11158" s="5" t="s">
        <v>10407</v>
      </c>
      <c r="C11158" s="5" t="s">
        <v>11</v>
      </c>
      <c r="D11158" s="5" t="s">
        <v>12</v>
      </c>
      <c r="E11158" s="5" t="s">
        <v>3608</v>
      </c>
    </row>
    <row r="11159" spans="1:5" x14ac:dyDescent="0.25">
      <c r="A11159" s="5">
        <f>11151</f>
      </c>
      <c r="B11159" s="5" t="s">
        <v>10408</v>
      </c>
      <c r="C11159" s="5" t="s">
        <v>11</v>
      </c>
      <c r="D11159" s="5" t="s">
        <v>12</v>
      </c>
      <c r="E11159" s="5" t="s">
        <v>3608</v>
      </c>
    </row>
    <row r="11160" spans="1:5" x14ac:dyDescent="0.25">
      <c r="A11160" s="5">
        <f>11152</f>
      </c>
      <c r="B11160" s="5" t="s">
        <v>10409</v>
      </c>
      <c r="C11160" s="5" t="s">
        <v>11</v>
      </c>
      <c r="D11160" s="5" t="s">
        <v>12</v>
      </c>
      <c r="E11160" s="5" t="s">
        <v>3608</v>
      </c>
    </row>
    <row r="11161" spans="1:5" x14ac:dyDescent="0.25">
      <c r="A11161" s="5">
        <f>11153</f>
      </c>
      <c r="B11161" s="5" t="s">
        <v>10410</v>
      </c>
      <c r="C11161" s="5" t="s">
        <v>11</v>
      </c>
      <c r="D11161" s="5" t="s">
        <v>12</v>
      </c>
      <c r="E11161" s="5" t="s">
        <v>3608</v>
      </c>
    </row>
    <row r="11162" spans="1:5" x14ac:dyDescent="0.25">
      <c r="A11162" s="5">
        <f>11154</f>
      </c>
      <c r="B11162" s="5" t="s">
        <v>10411</v>
      </c>
      <c r="C11162" s="5" t="s">
        <v>11</v>
      </c>
      <c r="D11162" s="5" t="s">
        <v>12</v>
      </c>
      <c r="E11162" s="5" t="s">
        <v>3608</v>
      </c>
    </row>
    <row r="11163" spans="1:5" x14ac:dyDescent="0.25">
      <c r="A11163" s="5">
        <f>11155</f>
      </c>
      <c r="B11163" s="5" t="s">
        <v>10412</v>
      </c>
      <c r="C11163" s="5" t="s">
        <v>11</v>
      </c>
      <c r="D11163" s="5" t="s">
        <v>12</v>
      </c>
      <c r="E11163" s="5" t="s">
        <v>3608</v>
      </c>
    </row>
    <row r="11164" spans="1:5" x14ac:dyDescent="0.25">
      <c r="A11164" s="5">
        <f>11156</f>
      </c>
      <c r="B11164" s="5" t="s">
        <v>10413</v>
      </c>
      <c r="C11164" s="5" t="s">
        <v>11</v>
      </c>
      <c r="D11164" s="5" t="s">
        <v>12</v>
      </c>
      <c r="E11164" s="5" t="s">
        <v>3608</v>
      </c>
    </row>
    <row r="11165" spans="1:5" x14ac:dyDescent="0.25">
      <c r="A11165" s="5">
        <f>11157</f>
      </c>
      <c r="B11165" s="5" t="s">
        <v>10414</v>
      </c>
      <c r="C11165" s="5" t="s">
        <v>11</v>
      </c>
      <c r="D11165" s="5" t="s">
        <v>12</v>
      </c>
      <c r="E11165" s="5" t="s">
        <v>3608</v>
      </c>
    </row>
    <row r="11166" spans="1:5" x14ac:dyDescent="0.25">
      <c r="A11166" s="5">
        <f>11158</f>
      </c>
      <c r="B11166" s="5" t="s">
        <v>10415</v>
      </c>
      <c r="C11166" s="5" t="s">
        <v>11</v>
      </c>
      <c r="D11166" s="5" t="s">
        <v>12</v>
      </c>
      <c r="E11166" s="5" t="s">
        <v>3608</v>
      </c>
    </row>
    <row r="11167" spans="1:5" x14ac:dyDescent="0.25">
      <c r="A11167" s="5">
        <f>11159</f>
      </c>
      <c r="B11167" s="5" t="s">
        <v>10416</v>
      </c>
      <c r="C11167" s="5" t="s">
        <v>11</v>
      </c>
      <c r="D11167" s="5" t="s">
        <v>12</v>
      </c>
      <c r="E11167" s="5" t="s">
        <v>3608</v>
      </c>
    </row>
    <row r="11168" spans="1:5" x14ac:dyDescent="0.25">
      <c r="A11168" s="5">
        <f>11160</f>
      </c>
      <c r="B11168" s="5" t="s">
        <v>10417</v>
      </c>
      <c r="C11168" s="5" t="s">
        <v>11</v>
      </c>
      <c r="D11168" s="5" t="s">
        <v>12</v>
      </c>
      <c r="E11168" s="5" t="s">
        <v>3608</v>
      </c>
    </row>
    <row r="11169" spans="1:5" x14ac:dyDescent="0.25">
      <c r="A11169" s="5">
        <f>11161</f>
      </c>
      <c r="B11169" s="5" t="s">
        <v>10418</v>
      </c>
      <c r="C11169" s="5" t="s">
        <v>11</v>
      </c>
      <c r="D11169" s="5" t="s">
        <v>12</v>
      </c>
      <c r="E11169" s="5" t="s">
        <v>2821</v>
      </c>
    </row>
    <row r="11170" spans="1:5" x14ac:dyDescent="0.25">
      <c r="A11170" s="5">
        <f>11162</f>
      </c>
      <c r="B11170" s="5" t="s">
        <v>10419</v>
      </c>
      <c r="C11170" s="5" t="s">
        <v>11</v>
      </c>
      <c r="D11170" s="5" t="s">
        <v>12</v>
      </c>
      <c r="E11170" s="5" t="s">
        <v>2821</v>
      </c>
    </row>
    <row r="11171" spans="1:5" x14ac:dyDescent="0.25">
      <c r="A11171" s="5">
        <f>11163</f>
      </c>
      <c r="B11171" s="5" t="s">
        <v>10420</v>
      </c>
      <c r="C11171" s="5" t="s">
        <v>11</v>
      </c>
      <c r="D11171" s="5" t="s">
        <v>12</v>
      </c>
      <c r="E11171" s="5" t="s">
        <v>2821</v>
      </c>
    </row>
    <row r="11172" spans="1:5" x14ac:dyDescent="0.25">
      <c r="A11172" s="5">
        <f>11164</f>
      </c>
      <c r="B11172" s="5" t="s">
        <v>10421</v>
      </c>
      <c r="C11172" s="5" t="s">
        <v>11</v>
      </c>
      <c r="D11172" s="5" t="s">
        <v>12</v>
      </c>
      <c r="E11172" s="5" t="s">
        <v>2821</v>
      </c>
    </row>
    <row r="11173" spans="1:5" x14ac:dyDescent="0.25">
      <c r="A11173" s="5">
        <f>11165</f>
      </c>
      <c r="B11173" s="5" t="s">
        <v>10422</v>
      </c>
      <c r="C11173" s="5" t="s">
        <v>11</v>
      </c>
      <c r="D11173" s="5" t="s">
        <v>12</v>
      </c>
      <c r="E11173" s="5" t="s">
        <v>2821</v>
      </c>
    </row>
    <row r="11174" spans="1:5" x14ac:dyDescent="0.25">
      <c r="A11174" s="5">
        <f>11166</f>
      </c>
      <c r="B11174" s="5" t="s">
        <v>10423</v>
      </c>
      <c r="C11174" s="5" t="s">
        <v>11</v>
      </c>
      <c r="D11174" s="5" t="s">
        <v>12</v>
      </c>
      <c r="E11174" s="5" t="s">
        <v>2821</v>
      </c>
    </row>
    <row r="11175" spans="1:5" x14ac:dyDescent="0.25">
      <c r="A11175" s="5">
        <f>11167</f>
      </c>
      <c r="B11175" s="5" t="s">
        <v>10424</v>
      </c>
      <c r="C11175" s="5" t="s">
        <v>11</v>
      </c>
      <c r="D11175" s="5" t="s">
        <v>12</v>
      </c>
      <c r="E11175" s="5" t="s">
        <v>2821</v>
      </c>
    </row>
    <row r="11176" spans="1:5" x14ac:dyDescent="0.25">
      <c r="A11176" s="5">
        <f>11168</f>
      </c>
      <c r="B11176" s="5" t="s">
        <v>10425</v>
      </c>
      <c r="C11176" s="5" t="s">
        <v>11</v>
      </c>
      <c r="D11176" s="5" t="s">
        <v>12</v>
      </c>
      <c r="E11176" s="5" t="s">
        <v>2821</v>
      </c>
    </row>
    <row r="11177" spans="1:5" x14ac:dyDescent="0.25">
      <c r="A11177" s="5">
        <f>11169</f>
      </c>
      <c r="B11177" s="5" t="s">
        <v>10426</v>
      </c>
      <c r="C11177" s="5" t="s">
        <v>11</v>
      </c>
      <c r="D11177" s="5" t="s">
        <v>12</v>
      </c>
      <c r="E11177" s="5" t="s">
        <v>2821</v>
      </c>
    </row>
    <row r="11178" spans="1:5" x14ac:dyDescent="0.25">
      <c r="A11178" s="5">
        <f>11170</f>
      </c>
      <c r="B11178" s="5" t="s">
        <v>10427</v>
      </c>
      <c r="C11178" s="5" t="s">
        <v>11</v>
      </c>
      <c r="D11178" s="5" t="s">
        <v>12</v>
      </c>
      <c r="E11178" s="5" t="s">
        <v>2821</v>
      </c>
    </row>
    <row r="11179" spans="1:5" x14ac:dyDescent="0.25">
      <c r="A11179" s="5">
        <f>11171</f>
      </c>
      <c r="B11179" s="5" t="s">
        <v>10428</v>
      </c>
      <c r="C11179" s="5" t="s">
        <v>11</v>
      </c>
      <c r="D11179" s="5" t="s">
        <v>12</v>
      </c>
      <c r="E11179" s="5" t="s">
        <v>2821</v>
      </c>
    </row>
    <row r="11180" spans="1:5" x14ac:dyDescent="0.25">
      <c r="A11180" s="5">
        <f>11172</f>
      </c>
      <c r="B11180" s="5" t="s">
        <v>10429</v>
      </c>
      <c r="C11180" s="5" t="s">
        <v>11</v>
      </c>
      <c r="D11180" s="5" t="s">
        <v>12</v>
      </c>
      <c r="E11180" s="5" t="s">
        <v>2821</v>
      </c>
    </row>
    <row r="11181" spans="1:5" x14ac:dyDescent="0.25">
      <c r="A11181" s="5">
        <f>11173</f>
      </c>
      <c r="B11181" s="5" t="s">
        <v>10430</v>
      </c>
      <c r="C11181" s="5" t="s">
        <v>11</v>
      </c>
      <c r="D11181" s="5" t="s">
        <v>12</v>
      </c>
      <c r="E11181" s="5" t="s">
        <v>2821</v>
      </c>
    </row>
    <row r="11182" spans="1:5" x14ac:dyDescent="0.25">
      <c r="A11182" s="5">
        <f>11174</f>
      </c>
      <c r="B11182" s="5" t="s">
        <v>10431</v>
      </c>
      <c r="C11182" s="5" t="s">
        <v>11</v>
      </c>
      <c r="D11182" s="5" t="s">
        <v>12</v>
      </c>
      <c r="E11182" s="5" t="s">
        <v>2821</v>
      </c>
    </row>
    <row r="11183" spans="1:5" x14ac:dyDescent="0.25">
      <c r="A11183" s="5">
        <f>11175</f>
      </c>
      <c r="B11183" s="5" t="s">
        <v>10432</v>
      </c>
      <c r="C11183" s="5" t="s">
        <v>11</v>
      </c>
      <c r="D11183" s="5" t="s">
        <v>12</v>
      </c>
      <c r="E11183" s="5" t="s">
        <v>2821</v>
      </c>
    </row>
    <row r="11184" spans="1:5" x14ac:dyDescent="0.25">
      <c r="A11184" s="5">
        <f>11176</f>
      </c>
      <c r="B11184" s="5" t="s">
        <v>10433</v>
      </c>
      <c r="C11184" s="5" t="s">
        <v>11</v>
      </c>
      <c r="D11184" s="5" t="s">
        <v>12</v>
      </c>
      <c r="E11184" s="5" t="s">
        <v>2821</v>
      </c>
    </row>
    <row r="11185" spans="1:5" x14ac:dyDescent="0.25">
      <c r="A11185" s="5">
        <f>11177</f>
      </c>
      <c r="B11185" s="5" t="s">
        <v>10434</v>
      </c>
      <c r="C11185" s="5" t="s">
        <v>11</v>
      </c>
      <c r="D11185" s="5" t="s">
        <v>12</v>
      </c>
      <c r="E11185" s="5" t="s">
        <v>2821</v>
      </c>
    </row>
    <row r="11186" spans="1:5" x14ac:dyDescent="0.25">
      <c r="A11186" s="5">
        <f>11178</f>
      </c>
      <c r="B11186" s="5" t="s">
        <v>10435</v>
      </c>
      <c r="C11186" s="5" t="s">
        <v>11</v>
      </c>
      <c r="D11186" s="5" t="s">
        <v>12</v>
      </c>
      <c r="E11186" s="5" t="s">
        <v>2821</v>
      </c>
    </row>
    <row r="11187" spans="1:5" x14ac:dyDescent="0.25">
      <c r="A11187" s="5">
        <f>11179</f>
      </c>
      <c r="B11187" s="5" t="s">
        <v>10436</v>
      </c>
      <c r="C11187" s="5" t="s">
        <v>11</v>
      </c>
      <c r="D11187" s="5" t="s">
        <v>12</v>
      </c>
      <c r="E11187" s="5" t="s">
        <v>2821</v>
      </c>
    </row>
    <row r="11188" spans="1:5" x14ac:dyDescent="0.25">
      <c r="A11188" s="5">
        <f>11180</f>
      </c>
      <c r="B11188" s="5" t="s">
        <v>10437</v>
      </c>
      <c r="C11188" s="5" t="s">
        <v>11</v>
      </c>
      <c r="D11188" s="5" t="s">
        <v>12</v>
      </c>
      <c r="E11188" s="5" t="s">
        <v>2821</v>
      </c>
    </row>
    <row r="11189" spans="1:5" x14ac:dyDescent="0.25">
      <c r="A11189" s="5">
        <f>11181</f>
      </c>
      <c r="B11189" s="5" t="s">
        <v>10438</v>
      </c>
      <c r="C11189" s="5" t="s">
        <v>11</v>
      </c>
      <c r="D11189" s="5" t="s">
        <v>12</v>
      </c>
      <c r="E11189" s="5" t="s">
        <v>2821</v>
      </c>
    </row>
    <row r="11190" spans="1:5" x14ac:dyDescent="0.25">
      <c r="A11190" s="5">
        <f>11182</f>
      </c>
      <c r="B11190" s="5" t="s">
        <v>10439</v>
      </c>
      <c r="C11190" s="5" t="s">
        <v>11</v>
      </c>
      <c r="D11190" s="5" t="s">
        <v>12</v>
      </c>
      <c r="E11190" s="5" t="s">
        <v>2821</v>
      </c>
    </row>
    <row r="11191" spans="1:5" x14ac:dyDescent="0.25">
      <c r="A11191" s="5">
        <f>11183</f>
      </c>
      <c r="B11191" s="5" t="s">
        <v>10440</v>
      </c>
      <c r="C11191" s="5" t="s">
        <v>11</v>
      </c>
      <c r="D11191" s="5" t="s">
        <v>12</v>
      </c>
      <c r="E11191" s="5" t="s">
        <v>2821</v>
      </c>
    </row>
    <row r="11192" spans="1:5" x14ac:dyDescent="0.25">
      <c r="A11192" s="5">
        <f>11184</f>
      </c>
      <c r="B11192" s="5" t="s">
        <v>10441</v>
      </c>
      <c r="C11192" s="5" t="s">
        <v>11</v>
      </c>
      <c r="D11192" s="5" t="s">
        <v>12</v>
      </c>
      <c r="E11192" s="5" t="s">
        <v>2821</v>
      </c>
    </row>
    <row r="11193" spans="1:5" x14ac:dyDescent="0.25">
      <c r="A11193" s="5">
        <f>11185</f>
      </c>
      <c r="B11193" s="5" t="s">
        <v>10442</v>
      </c>
      <c r="C11193" s="5" t="s">
        <v>11</v>
      </c>
      <c r="D11193" s="5" t="s">
        <v>12</v>
      </c>
      <c r="E11193" s="5" t="s">
        <v>2821</v>
      </c>
    </row>
    <row r="11194" spans="1:5" x14ac:dyDescent="0.25">
      <c r="A11194" s="5">
        <f>11186</f>
      </c>
      <c r="B11194" s="5" t="s">
        <v>10443</v>
      </c>
      <c r="C11194" s="5" t="s">
        <v>11</v>
      </c>
      <c r="D11194" s="5" t="s">
        <v>12</v>
      </c>
      <c r="E11194" s="5" t="s">
        <v>2821</v>
      </c>
    </row>
    <row r="11195" spans="1:5" x14ac:dyDescent="0.25">
      <c r="A11195" s="5">
        <f>11187</f>
      </c>
      <c r="B11195" s="5" t="s">
        <v>10444</v>
      </c>
      <c r="C11195" s="5" t="s">
        <v>11</v>
      </c>
      <c r="D11195" s="5" t="s">
        <v>12</v>
      </c>
      <c r="E11195" s="5" t="s">
        <v>2821</v>
      </c>
    </row>
    <row r="11196" spans="1:5" x14ac:dyDescent="0.25">
      <c r="A11196" s="5">
        <f>11188</f>
      </c>
      <c r="B11196" s="5" t="s">
        <v>10445</v>
      </c>
      <c r="C11196" s="5" t="s">
        <v>11</v>
      </c>
      <c r="D11196" s="5" t="s">
        <v>12</v>
      </c>
      <c r="E11196" s="5" t="s">
        <v>2821</v>
      </c>
    </row>
    <row r="11197" spans="1:5" x14ac:dyDescent="0.25">
      <c r="A11197" s="5">
        <f>11189</f>
      </c>
      <c r="B11197" s="5" t="s">
        <v>10446</v>
      </c>
      <c r="C11197" s="5" t="s">
        <v>11</v>
      </c>
      <c r="D11197" s="5" t="s">
        <v>12</v>
      </c>
      <c r="E11197" s="5" t="s">
        <v>2821</v>
      </c>
    </row>
    <row r="11198" spans="1:5" x14ac:dyDescent="0.25">
      <c r="A11198" s="5">
        <f>11190</f>
      </c>
      <c r="B11198" s="5" t="s">
        <v>10447</v>
      </c>
      <c r="C11198" s="5" t="s">
        <v>11</v>
      </c>
      <c r="D11198" s="5" t="s">
        <v>12</v>
      </c>
      <c r="E11198" s="5" t="s">
        <v>2821</v>
      </c>
    </row>
    <row r="11199" spans="1:5" x14ac:dyDescent="0.25">
      <c r="A11199" s="5">
        <f>11191</f>
      </c>
      <c r="B11199" s="5" t="s">
        <v>10448</v>
      </c>
      <c r="C11199" s="5" t="s">
        <v>11</v>
      </c>
      <c r="D11199" s="5" t="s">
        <v>12</v>
      </c>
      <c r="E11199" s="5" t="s">
        <v>2821</v>
      </c>
    </row>
    <row r="11200" spans="1:5" x14ac:dyDescent="0.25">
      <c r="A11200" s="5">
        <f>11192</f>
      </c>
      <c r="B11200" s="5" t="s">
        <v>10449</v>
      </c>
      <c r="C11200" s="5" t="s">
        <v>11</v>
      </c>
      <c r="D11200" s="5" t="s">
        <v>12</v>
      </c>
      <c r="E11200" s="5" t="s">
        <v>2821</v>
      </c>
    </row>
    <row r="11201" spans="1:5" x14ac:dyDescent="0.25">
      <c r="A11201" s="5">
        <f>11193</f>
      </c>
      <c r="B11201" s="5" t="s">
        <v>10450</v>
      </c>
      <c r="C11201" s="5" t="s">
        <v>11</v>
      </c>
      <c r="D11201" s="5" t="s">
        <v>12</v>
      </c>
      <c r="E11201" s="5" t="s">
        <v>2821</v>
      </c>
    </row>
    <row r="11202" spans="1:5" x14ac:dyDescent="0.25">
      <c r="A11202" s="5">
        <f>11194</f>
      </c>
      <c r="B11202" s="5" t="s">
        <v>10451</v>
      </c>
      <c r="C11202" s="5" t="s">
        <v>11</v>
      </c>
      <c r="D11202" s="5" t="s">
        <v>12</v>
      </c>
      <c r="E11202" s="5" t="s">
        <v>2821</v>
      </c>
    </row>
    <row r="11203" spans="1:5" x14ac:dyDescent="0.25">
      <c r="A11203" s="5">
        <f>11195</f>
      </c>
      <c r="B11203" s="5" t="s">
        <v>10452</v>
      </c>
      <c r="C11203" s="5" t="s">
        <v>11</v>
      </c>
      <c r="D11203" s="5" t="s">
        <v>12</v>
      </c>
      <c r="E11203" s="5" t="s">
        <v>2821</v>
      </c>
    </row>
    <row r="11204" spans="1:5" x14ac:dyDescent="0.25">
      <c r="A11204" s="5">
        <f>11196</f>
      </c>
      <c r="B11204" s="5" t="s">
        <v>10453</v>
      </c>
      <c r="C11204" s="5" t="s">
        <v>11</v>
      </c>
      <c r="D11204" s="5" t="s">
        <v>12</v>
      </c>
      <c r="E11204" s="5" t="s">
        <v>2821</v>
      </c>
    </row>
    <row r="11205" spans="1:5" x14ac:dyDescent="0.25">
      <c r="A11205" s="5">
        <f>11197</f>
      </c>
      <c r="B11205" s="5" t="s">
        <v>10454</v>
      </c>
      <c r="C11205" s="5" t="s">
        <v>11</v>
      </c>
      <c r="D11205" s="5" t="s">
        <v>12</v>
      </c>
      <c r="E11205" s="5" t="s">
        <v>2821</v>
      </c>
    </row>
    <row r="11206" spans="1:5" x14ac:dyDescent="0.25">
      <c r="A11206" s="5">
        <f>11198</f>
      </c>
      <c r="B11206" s="5" t="s">
        <v>10455</v>
      </c>
      <c r="C11206" s="5" t="s">
        <v>11</v>
      </c>
      <c r="D11206" s="5" t="s">
        <v>12</v>
      </c>
      <c r="E11206" s="5" t="s">
        <v>2821</v>
      </c>
    </row>
    <row r="11207" spans="1:5" x14ac:dyDescent="0.25">
      <c r="A11207" s="5">
        <f>11199</f>
      </c>
      <c r="B11207" s="5" t="s">
        <v>10456</v>
      </c>
      <c r="C11207" s="5" t="s">
        <v>11</v>
      </c>
      <c r="D11207" s="5" t="s">
        <v>12</v>
      </c>
      <c r="E11207" s="5" t="s">
        <v>2821</v>
      </c>
    </row>
    <row r="11208" spans="1:5" x14ac:dyDescent="0.25">
      <c r="A11208" s="5">
        <f>11200</f>
      </c>
      <c r="B11208" s="5" t="s">
        <v>10457</v>
      </c>
      <c r="C11208" s="5" t="s">
        <v>11</v>
      </c>
      <c r="D11208" s="5" t="s">
        <v>12</v>
      </c>
      <c r="E11208" s="5" t="s">
        <v>2821</v>
      </c>
    </row>
    <row r="11209" spans="1:5" x14ac:dyDescent="0.25">
      <c r="A11209" s="5">
        <f>11201</f>
      </c>
      <c r="B11209" s="5" t="s">
        <v>10458</v>
      </c>
      <c r="C11209" s="5" t="s">
        <v>11</v>
      </c>
      <c r="D11209" s="5" t="s">
        <v>12</v>
      </c>
      <c r="E11209" s="5" t="s">
        <v>2821</v>
      </c>
    </row>
    <row r="11210" spans="1:5" x14ac:dyDescent="0.25">
      <c r="A11210" s="5">
        <f>11202</f>
      </c>
      <c r="B11210" s="5" t="s">
        <v>10459</v>
      </c>
      <c r="C11210" s="5" t="s">
        <v>11</v>
      </c>
      <c r="D11210" s="5" t="s">
        <v>12</v>
      </c>
      <c r="E11210" s="5" t="s">
        <v>2821</v>
      </c>
    </row>
    <row r="11211" spans="1:5" x14ac:dyDescent="0.25">
      <c r="A11211" s="5">
        <f>11203</f>
      </c>
      <c r="B11211" s="5" t="s">
        <v>10460</v>
      </c>
      <c r="C11211" s="5" t="s">
        <v>11</v>
      </c>
      <c r="D11211" s="5" t="s">
        <v>12</v>
      </c>
      <c r="E11211" s="5" t="s">
        <v>2821</v>
      </c>
    </row>
    <row r="11212" spans="1:5" x14ac:dyDescent="0.25">
      <c r="A11212" s="5">
        <f>11204</f>
      </c>
      <c r="B11212" s="5" t="s">
        <v>10461</v>
      </c>
      <c r="C11212" s="5" t="s">
        <v>11</v>
      </c>
      <c r="D11212" s="5" t="s">
        <v>12</v>
      </c>
      <c r="E11212" s="5" t="s">
        <v>2821</v>
      </c>
    </row>
    <row r="11213" spans="1:5" x14ac:dyDescent="0.25">
      <c r="A11213" s="5">
        <f>11205</f>
      </c>
      <c r="B11213" s="5" t="s">
        <v>10462</v>
      </c>
      <c r="C11213" s="5" t="s">
        <v>11</v>
      </c>
      <c r="D11213" s="5" t="s">
        <v>12</v>
      </c>
      <c r="E11213" s="5" t="s">
        <v>2821</v>
      </c>
    </row>
    <row r="11214" spans="1:5" x14ac:dyDescent="0.25">
      <c r="A11214" s="5">
        <f>11206</f>
      </c>
      <c r="B11214" s="5" t="s">
        <v>10463</v>
      </c>
      <c r="C11214" s="5" t="s">
        <v>11</v>
      </c>
      <c r="D11214" s="5" t="s">
        <v>12</v>
      </c>
      <c r="E11214" s="5" t="s">
        <v>2821</v>
      </c>
    </row>
    <row r="11215" spans="1:5" x14ac:dyDescent="0.25">
      <c r="A11215" s="5">
        <f>11207</f>
      </c>
      <c r="B11215" s="5" t="s">
        <v>10464</v>
      </c>
      <c r="C11215" s="5" t="s">
        <v>11</v>
      </c>
      <c r="D11215" s="5" t="s">
        <v>12</v>
      </c>
      <c r="E11215" s="5" t="s">
        <v>2821</v>
      </c>
    </row>
    <row r="11216" spans="1:5" x14ac:dyDescent="0.25">
      <c r="A11216" s="5">
        <f>11208</f>
      </c>
      <c r="B11216" s="5" t="s">
        <v>10465</v>
      </c>
      <c r="C11216" s="5" t="s">
        <v>11</v>
      </c>
      <c r="D11216" s="5" t="s">
        <v>12</v>
      </c>
      <c r="E11216" s="5" t="s">
        <v>2821</v>
      </c>
    </row>
    <row r="11217" spans="1:5" x14ac:dyDescent="0.25">
      <c r="A11217" s="5">
        <f>11209</f>
      </c>
      <c r="B11217" s="5" t="s">
        <v>10466</v>
      </c>
      <c r="C11217" s="5" t="s">
        <v>11</v>
      </c>
      <c r="D11217" s="5" t="s">
        <v>12</v>
      </c>
      <c r="E11217" s="5" t="s">
        <v>2821</v>
      </c>
    </row>
    <row r="11218" spans="1:5" x14ac:dyDescent="0.25">
      <c r="A11218" s="5">
        <f>11210</f>
      </c>
      <c r="B11218" s="5" t="s">
        <v>10467</v>
      </c>
      <c r="C11218" s="5" t="s">
        <v>11</v>
      </c>
      <c r="D11218" s="5" t="s">
        <v>12</v>
      </c>
      <c r="E11218" s="5" t="s">
        <v>2821</v>
      </c>
    </row>
    <row r="11219" spans="1:5" x14ac:dyDescent="0.25">
      <c r="A11219" s="5">
        <f>11211</f>
      </c>
      <c r="B11219" s="5" t="s">
        <v>10468</v>
      </c>
      <c r="C11219" s="5" t="s">
        <v>11</v>
      </c>
      <c r="D11219" s="5" t="s">
        <v>12</v>
      </c>
      <c r="E11219" s="5" t="s">
        <v>2821</v>
      </c>
    </row>
    <row r="11220" spans="1:5" x14ac:dyDescent="0.25">
      <c r="A11220" s="5">
        <f>11212</f>
      </c>
      <c r="B11220" s="5" t="s">
        <v>10469</v>
      </c>
      <c r="C11220" s="5" t="s">
        <v>11</v>
      </c>
      <c r="D11220" s="5" t="s">
        <v>12</v>
      </c>
      <c r="E11220" s="5" t="s">
        <v>2821</v>
      </c>
    </row>
    <row r="11221" spans="1:5" x14ac:dyDescent="0.25">
      <c r="A11221" s="5">
        <f>11213</f>
      </c>
      <c r="B11221" s="5" t="s">
        <v>10470</v>
      </c>
      <c r="C11221" s="5" t="s">
        <v>11</v>
      </c>
      <c r="D11221" s="5" t="s">
        <v>12</v>
      </c>
      <c r="E11221" s="5" t="s">
        <v>2821</v>
      </c>
    </row>
    <row r="11222" spans="1:5" x14ac:dyDescent="0.25">
      <c r="A11222" s="5">
        <f>11214</f>
      </c>
      <c r="B11222" s="5" t="s">
        <v>10471</v>
      </c>
      <c r="C11222" s="5" t="s">
        <v>11</v>
      </c>
      <c r="D11222" s="5" t="s">
        <v>12</v>
      </c>
      <c r="E11222" s="5" t="s">
        <v>2821</v>
      </c>
    </row>
    <row r="11223" spans="1:5" x14ac:dyDescent="0.25">
      <c r="A11223" s="5">
        <f>11215</f>
      </c>
      <c r="B11223" s="5" t="s">
        <v>10472</v>
      </c>
      <c r="C11223" s="5" t="s">
        <v>11</v>
      </c>
      <c r="D11223" s="5" t="s">
        <v>12</v>
      </c>
      <c r="E11223" s="5" t="s">
        <v>2821</v>
      </c>
    </row>
    <row r="11224" spans="1:5" x14ac:dyDescent="0.25">
      <c r="A11224" s="5">
        <f>11216</f>
      </c>
      <c r="B11224" s="5" t="s">
        <v>10473</v>
      </c>
      <c r="C11224" s="5" t="s">
        <v>11</v>
      </c>
      <c r="D11224" s="5" t="s">
        <v>12</v>
      </c>
      <c r="E11224" s="5" t="s">
        <v>2821</v>
      </c>
    </row>
    <row r="11225" spans="1:5" x14ac:dyDescent="0.25">
      <c r="A11225" s="5">
        <f>11217</f>
      </c>
      <c r="B11225" s="5" t="s">
        <v>10474</v>
      </c>
      <c r="C11225" s="5" t="s">
        <v>11</v>
      </c>
      <c r="D11225" s="5" t="s">
        <v>12</v>
      </c>
      <c r="E11225" s="5" t="s">
        <v>2821</v>
      </c>
    </row>
    <row r="11226" spans="1:5" x14ac:dyDescent="0.25">
      <c r="A11226" s="5">
        <f>11218</f>
      </c>
      <c r="B11226" s="5" t="s">
        <v>10475</v>
      </c>
      <c r="C11226" s="5" t="s">
        <v>11</v>
      </c>
      <c r="D11226" s="5" t="s">
        <v>12</v>
      </c>
      <c r="E11226" s="5" t="s">
        <v>2821</v>
      </c>
    </row>
    <row r="11227" spans="1:5" x14ac:dyDescent="0.25">
      <c r="A11227" s="5">
        <f>11219</f>
      </c>
      <c r="B11227" s="5" t="s">
        <v>10476</v>
      </c>
      <c r="C11227" s="5" t="s">
        <v>11</v>
      </c>
      <c r="D11227" s="5" t="s">
        <v>12</v>
      </c>
      <c r="E11227" s="5" t="s">
        <v>2821</v>
      </c>
    </row>
    <row r="11228" spans="1:5" x14ac:dyDescent="0.25">
      <c r="A11228" s="5">
        <f>11220</f>
      </c>
      <c r="B11228" s="5" t="s">
        <v>10477</v>
      </c>
      <c r="C11228" s="5" t="s">
        <v>11</v>
      </c>
      <c r="D11228" s="5" t="s">
        <v>12</v>
      </c>
      <c r="E11228" s="5" t="s">
        <v>2821</v>
      </c>
    </row>
    <row r="11229" spans="1:5" x14ac:dyDescent="0.25">
      <c r="A11229" s="5">
        <f>11221</f>
      </c>
      <c r="B11229" s="5" t="s">
        <v>10478</v>
      </c>
      <c r="C11229" s="5" t="s">
        <v>11</v>
      </c>
      <c r="D11229" s="5" t="s">
        <v>12</v>
      </c>
      <c r="E11229" s="5" t="s">
        <v>10479</v>
      </c>
    </row>
    <row r="11230" spans="1:5" x14ac:dyDescent="0.25">
      <c r="A11230" s="5">
        <f>11222</f>
      </c>
      <c r="B11230" s="5" t="s">
        <v>10480</v>
      </c>
      <c r="C11230" s="5" t="s">
        <v>11</v>
      </c>
      <c r="D11230" s="5" t="s">
        <v>12</v>
      </c>
      <c r="E11230" s="5" t="s">
        <v>10479</v>
      </c>
    </row>
    <row r="11231" spans="1:5" x14ac:dyDescent="0.25">
      <c r="A11231" s="5">
        <f>11223</f>
      </c>
      <c r="B11231" s="5" t="s">
        <v>10481</v>
      </c>
      <c r="C11231" s="5" t="s">
        <v>11</v>
      </c>
      <c r="D11231" s="5" t="s">
        <v>12</v>
      </c>
      <c r="E11231" s="5" t="s">
        <v>10479</v>
      </c>
    </row>
    <row r="11232" spans="1:5" x14ac:dyDescent="0.25">
      <c r="A11232" s="5">
        <f>11224</f>
      </c>
      <c r="B11232" s="5" t="s">
        <v>10482</v>
      </c>
      <c r="C11232" s="5" t="s">
        <v>11</v>
      </c>
      <c r="D11232" s="5" t="s">
        <v>12</v>
      </c>
      <c r="E11232" s="5" t="s">
        <v>10479</v>
      </c>
    </row>
    <row r="11233" spans="1:5" x14ac:dyDescent="0.25">
      <c r="A11233" s="5">
        <f>11225</f>
      </c>
      <c r="B11233" s="5" t="s">
        <v>10483</v>
      </c>
      <c r="C11233" s="5" t="s">
        <v>11</v>
      </c>
      <c r="D11233" s="5" t="s">
        <v>12</v>
      </c>
      <c r="E11233" s="5" t="s">
        <v>10479</v>
      </c>
    </row>
    <row r="11234" spans="1:5" x14ac:dyDescent="0.25">
      <c r="A11234" s="5">
        <f>11226</f>
      </c>
      <c r="B11234" s="5" t="s">
        <v>10484</v>
      </c>
      <c r="C11234" s="5" t="s">
        <v>11</v>
      </c>
      <c r="D11234" s="5" t="s">
        <v>12</v>
      </c>
      <c r="E11234" s="5" t="s">
        <v>10479</v>
      </c>
    </row>
    <row r="11235" spans="1:5" x14ac:dyDescent="0.25">
      <c r="A11235" s="5">
        <f>11227</f>
      </c>
      <c r="B11235" s="5" t="s">
        <v>10485</v>
      </c>
      <c r="C11235" s="5" t="s">
        <v>11</v>
      </c>
      <c r="D11235" s="5" t="s">
        <v>12</v>
      </c>
      <c r="E11235" s="5" t="s">
        <v>10479</v>
      </c>
    </row>
    <row r="11236" spans="1:5" x14ac:dyDescent="0.25">
      <c r="A11236" s="5">
        <f>11228</f>
      </c>
      <c r="B11236" s="5" t="s">
        <v>10486</v>
      </c>
      <c r="C11236" s="5" t="s">
        <v>11</v>
      </c>
      <c r="D11236" s="5" t="s">
        <v>12</v>
      </c>
      <c r="E11236" s="5" t="s">
        <v>10479</v>
      </c>
    </row>
    <row r="11237" spans="1:5" x14ac:dyDescent="0.25">
      <c r="A11237" s="5">
        <f>11229</f>
      </c>
      <c r="B11237" s="5" t="s">
        <v>10487</v>
      </c>
      <c r="C11237" s="5" t="s">
        <v>11</v>
      </c>
      <c r="D11237" s="5" t="s">
        <v>12</v>
      </c>
      <c r="E11237" s="5" t="s">
        <v>10479</v>
      </c>
    </row>
    <row r="11238" spans="1:5" x14ac:dyDescent="0.25">
      <c r="A11238" s="5">
        <f>11230</f>
      </c>
      <c r="B11238" s="5" t="s">
        <v>10488</v>
      </c>
      <c r="C11238" s="5" t="s">
        <v>11</v>
      </c>
      <c r="D11238" s="5" t="s">
        <v>12</v>
      </c>
      <c r="E11238" s="5" t="s">
        <v>10479</v>
      </c>
    </row>
    <row r="11239" spans="1:5" x14ac:dyDescent="0.25">
      <c r="A11239" s="5">
        <f>11231</f>
      </c>
      <c r="B11239" s="5" t="s">
        <v>10489</v>
      </c>
      <c r="C11239" s="5" t="s">
        <v>11</v>
      </c>
      <c r="D11239" s="5" t="s">
        <v>12</v>
      </c>
      <c r="E11239" s="5" t="s">
        <v>10479</v>
      </c>
    </row>
    <row r="11240" spans="1:5" x14ac:dyDescent="0.25">
      <c r="A11240" s="5">
        <f>11232</f>
      </c>
      <c r="B11240" s="5" t="s">
        <v>10490</v>
      </c>
      <c r="C11240" s="5" t="s">
        <v>11</v>
      </c>
      <c r="D11240" s="5" t="s">
        <v>12</v>
      </c>
      <c r="E11240" s="5" t="s">
        <v>10479</v>
      </c>
    </row>
    <row r="11241" spans="1:5" x14ac:dyDescent="0.25">
      <c r="A11241" s="5">
        <f>11233</f>
      </c>
      <c r="B11241" s="5" t="s">
        <v>10491</v>
      </c>
      <c r="C11241" s="5" t="s">
        <v>11</v>
      </c>
      <c r="D11241" s="5" t="s">
        <v>12</v>
      </c>
      <c r="E11241" s="5" t="s">
        <v>10479</v>
      </c>
    </row>
    <row r="11242" spans="1:5" x14ac:dyDescent="0.25">
      <c r="A11242" s="5">
        <f>11234</f>
      </c>
      <c r="B11242" s="5" t="s">
        <v>10492</v>
      </c>
      <c r="C11242" s="5" t="s">
        <v>11</v>
      </c>
      <c r="D11242" s="5" t="s">
        <v>12</v>
      </c>
      <c r="E11242" s="5" t="s">
        <v>10479</v>
      </c>
    </row>
    <row r="11243" spans="1:5" x14ac:dyDescent="0.25">
      <c r="A11243" s="5">
        <f>11235</f>
      </c>
      <c r="B11243" s="5" t="s">
        <v>10493</v>
      </c>
      <c r="C11243" s="5" t="s">
        <v>11</v>
      </c>
      <c r="D11243" s="5" t="s">
        <v>12</v>
      </c>
      <c r="E11243" s="5" t="s">
        <v>10479</v>
      </c>
    </row>
    <row r="11244" spans="1:5" x14ac:dyDescent="0.25">
      <c r="A11244" s="5">
        <f>11236</f>
      </c>
      <c r="B11244" s="5" t="s">
        <v>10494</v>
      </c>
      <c r="C11244" s="5" t="s">
        <v>11</v>
      </c>
      <c r="D11244" s="5" t="s">
        <v>12</v>
      </c>
      <c r="E11244" s="5" t="s">
        <v>10479</v>
      </c>
    </row>
    <row r="11245" spans="1:5" x14ac:dyDescent="0.25">
      <c r="A11245" s="5">
        <f>11237</f>
      </c>
      <c r="B11245" s="5" t="s">
        <v>10495</v>
      </c>
      <c r="C11245" s="5" t="s">
        <v>11</v>
      </c>
      <c r="D11245" s="5" t="s">
        <v>12</v>
      </c>
      <c r="E11245" s="5" t="s">
        <v>10479</v>
      </c>
    </row>
    <row r="11246" spans="1:5" x14ac:dyDescent="0.25">
      <c r="A11246" s="5">
        <f>11238</f>
      </c>
      <c r="B11246" s="5" t="s">
        <v>10496</v>
      </c>
      <c r="C11246" s="5" t="s">
        <v>11</v>
      </c>
      <c r="D11246" s="5" t="s">
        <v>12</v>
      </c>
      <c r="E11246" s="5" t="s">
        <v>10479</v>
      </c>
    </row>
    <row r="11247" spans="1:5" x14ac:dyDescent="0.25">
      <c r="A11247" s="5">
        <f>11239</f>
      </c>
      <c r="B11247" s="5" t="s">
        <v>10497</v>
      </c>
      <c r="C11247" s="5" t="s">
        <v>11</v>
      </c>
      <c r="D11247" s="5" t="s">
        <v>12</v>
      </c>
      <c r="E11247" s="5" t="s">
        <v>10479</v>
      </c>
    </row>
    <row r="11248" spans="1:5" x14ac:dyDescent="0.25">
      <c r="A11248" s="5">
        <f>11240</f>
      </c>
      <c r="B11248" s="5" t="s">
        <v>10498</v>
      </c>
      <c r="C11248" s="5" t="s">
        <v>11</v>
      </c>
      <c r="D11248" s="5" t="s">
        <v>12</v>
      </c>
      <c r="E11248" s="5" t="s">
        <v>10479</v>
      </c>
    </row>
    <row r="11249" spans="1:5" x14ac:dyDescent="0.25">
      <c r="A11249" s="5">
        <f>11241</f>
      </c>
      <c r="B11249" s="5" t="s">
        <v>10499</v>
      </c>
      <c r="C11249" s="5" t="s">
        <v>11</v>
      </c>
      <c r="D11249" s="5" t="s">
        <v>12</v>
      </c>
      <c r="E11249" s="5" t="s">
        <v>10479</v>
      </c>
    </row>
    <row r="11250" spans="1:5" x14ac:dyDescent="0.25">
      <c r="A11250" s="5">
        <f>11242</f>
      </c>
      <c r="B11250" s="5" t="s">
        <v>10500</v>
      </c>
      <c r="C11250" s="5" t="s">
        <v>11</v>
      </c>
      <c r="D11250" s="5" t="s">
        <v>12</v>
      </c>
      <c r="E11250" s="5" t="s">
        <v>10479</v>
      </c>
    </row>
    <row r="11251" spans="1:5" x14ac:dyDescent="0.25">
      <c r="A11251" s="5">
        <f>11243</f>
      </c>
      <c r="B11251" s="5" t="s">
        <v>10501</v>
      </c>
      <c r="C11251" s="5" t="s">
        <v>11</v>
      </c>
      <c r="D11251" s="5" t="s">
        <v>12</v>
      </c>
      <c r="E11251" s="5" t="s">
        <v>10479</v>
      </c>
    </row>
    <row r="11252" spans="1:5" x14ac:dyDescent="0.25">
      <c r="A11252" s="5">
        <f>11244</f>
      </c>
      <c r="B11252" s="5" t="s">
        <v>10502</v>
      </c>
      <c r="C11252" s="5" t="s">
        <v>11</v>
      </c>
      <c r="D11252" s="5" t="s">
        <v>12</v>
      </c>
      <c r="E11252" s="5" t="s">
        <v>10479</v>
      </c>
    </row>
    <row r="11253" spans="1:5" x14ac:dyDescent="0.25">
      <c r="A11253" s="5">
        <f>11245</f>
      </c>
      <c r="B11253" s="5" t="s">
        <v>10503</v>
      </c>
      <c r="C11253" s="5" t="s">
        <v>11</v>
      </c>
      <c r="D11253" s="5" t="s">
        <v>12</v>
      </c>
      <c r="E11253" s="5" t="s">
        <v>10479</v>
      </c>
    </row>
    <row r="11254" spans="1:5" x14ac:dyDescent="0.25">
      <c r="A11254" s="5">
        <f>11246</f>
      </c>
      <c r="B11254" s="5" t="s">
        <v>10504</v>
      </c>
      <c r="C11254" s="5" t="s">
        <v>11</v>
      </c>
      <c r="D11254" s="5" t="s">
        <v>12</v>
      </c>
      <c r="E11254" s="5" t="s">
        <v>10479</v>
      </c>
    </row>
    <row r="11255" spans="1:5" x14ac:dyDescent="0.25">
      <c r="A11255" s="5">
        <f>11247</f>
      </c>
      <c r="B11255" s="5" t="s">
        <v>10505</v>
      </c>
      <c r="C11255" s="5" t="s">
        <v>11</v>
      </c>
      <c r="D11255" s="5" t="s">
        <v>12</v>
      </c>
      <c r="E11255" s="5" t="s">
        <v>10479</v>
      </c>
    </row>
    <row r="11256" spans="1:5" x14ac:dyDescent="0.25">
      <c r="A11256" s="5">
        <f>11248</f>
      </c>
      <c r="B11256" s="5" t="s">
        <v>10506</v>
      </c>
      <c r="C11256" s="5" t="s">
        <v>11</v>
      </c>
      <c r="D11256" s="5" t="s">
        <v>12</v>
      </c>
      <c r="E11256" s="5" t="s">
        <v>10479</v>
      </c>
    </row>
    <row r="11257" spans="1:5" x14ac:dyDescent="0.25">
      <c r="A11257" s="5">
        <f>11249</f>
      </c>
      <c r="B11257" s="5" t="s">
        <v>10507</v>
      </c>
      <c r="C11257" s="5" t="s">
        <v>11</v>
      </c>
      <c r="D11257" s="5" t="s">
        <v>12</v>
      </c>
      <c r="E11257" s="5" t="s">
        <v>10479</v>
      </c>
    </row>
    <row r="11258" spans="1:5" x14ac:dyDescent="0.25">
      <c r="A11258" s="5">
        <f>11250</f>
      </c>
      <c r="B11258" s="5" t="s">
        <v>10508</v>
      </c>
      <c r="C11258" s="5" t="s">
        <v>11</v>
      </c>
      <c r="D11258" s="5" t="s">
        <v>12</v>
      </c>
      <c r="E11258" s="5" t="s">
        <v>10479</v>
      </c>
    </row>
    <row r="11259" spans="1:5" x14ac:dyDescent="0.25">
      <c r="A11259" s="5">
        <f>11251</f>
      </c>
      <c r="B11259" s="5" t="s">
        <v>10509</v>
      </c>
      <c r="C11259" s="5" t="s">
        <v>11</v>
      </c>
      <c r="D11259" s="5" t="s">
        <v>12</v>
      </c>
      <c r="E11259" s="5" t="s">
        <v>10479</v>
      </c>
    </row>
    <row r="11260" spans="1:5" x14ac:dyDescent="0.25">
      <c r="A11260" s="5">
        <f>11252</f>
      </c>
      <c r="B11260" s="5" t="s">
        <v>10510</v>
      </c>
      <c r="C11260" s="5" t="s">
        <v>11</v>
      </c>
      <c r="D11260" s="5" t="s">
        <v>12</v>
      </c>
      <c r="E11260" s="5" t="s">
        <v>10479</v>
      </c>
    </row>
    <row r="11261" spans="1:5" x14ac:dyDescent="0.25">
      <c r="A11261" s="5">
        <f>11253</f>
      </c>
      <c r="B11261" s="5" t="s">
        <v>10511</v>
      </c>
      <c r="C11261" s="5" t="s">
        <v>11</v>
      </c>
      <c r="D11261" s="5" t="s">
        <v>12</v>
      </c>
      <c r="E11261" s="5" t="s">
        <v>10479</v>
      </c>
    </row>
    <row r="11262" spans="1:5" x14ac:dyDescent="0.25">
      <c r="A11262" s="5">
        <f>11254</f>
      </c>
      <c r="B11262" s="5" t="s">
        <v>10512</v>
      </c>
      <c r="C11262" s="5" t="s">
        <v>11</v>
      </c>
      <c r="D11262" s="5" t="s">
        <v>12</v>
      </c>
      <c r="E11262" s="5" t="s">
        <v>10479</v>
      </c>
    </row>
    <row r="11263" spans="1:5" x14ac:dyDescent="0.25">
      <c r="A11263" s="5">
        <f>11255</f>
      </c>
      <c r="B11263" s="5" t="s">
        <v>10513</v>
      </c>
      <c r="C11263" s="5" t="s">
        <v>11</v>
      </c>
      <c r="D11263" s="5" t="s">
        <v>12</v>
      </c>
      <c r="E11263" s="5" t="s">
        <v>10479</v>
      </c>
    </row>
    <row r="11264" spans="1:5" x14ac:dyDescent="0.25">
      <c r="A11264" s="5">
        <f>11256</f>
      </c>
      <c r="B11264" s="5" t="s">
        <v>10514</v>
      </c>
      <c r="C11264" s="5" t="s">
        <v>11</v>
      </c>
      <c r="D11264" s="5" t="s">
        <v>12</v>
      </c>
      <c r="E11264" s="5" t="s">
        <v>10479</v>
      </c>
    </row>
    <row r="11265" spans="1:5" x14ac:dyDescent="0.25">
      <c r="A11265" s="5">
        <f>11257</f>
      </c>
      <c r="B11265" s="5" t="s">
        <v>10515</v>
      </c>
      <c r="C11265" s="5" t="s">
        <v>11</v>
      </c>
      <c r="D11265" s="5" t="s">
        <v>12</v>
      </c>
      <c r="E11265" s="5" t="s">
        <v>10479</v>
      </c>
    </row>
    <row r="11266" spans="1:5" x14ac:dyDescent="0.25">
      <c r="A11266" s="5">
        <f>11258</f>
      </c>
      <c r="B11266" s="5" t="s">
        <v>10516</v>
      </c>
      <c r="C11266" s="5" t="s">
        <v>11</v>
      </c>
      <c r="D11266" s="5" t="s">
        <v>12</v>
      </c>
      <c r="E11266" s="5" t="s">
        <v>10479</v>
      </c>
    </row>
    <row r="11267" spans="1:5" x14ac:dyDescent="0.25">
      <c r="A11267" s="5">
        <f>11259</f>
      </c>
      <c r="B11267" s="5" t="s">
        <v>10517</v>
      </c>
      <c r="C11267" s="5" t="s">
        <v>11</v>
      </c>
      <c r="D11267" s="5" t="s">
        <v>12</v>
      </c>
      <c r="E11267" s="5" t="s">
        <v>10479</v>
      </c>
    </row>
    <row r="11268" spans="1:5" x14ac:dyDescent="0.25">
      <c r="A11268" s="5">
        <f>11260</f>
      </c>
      <c r="B11268" s="5" t="s">
        <v>10518</v>
      </c>
      <c r="C11268" s="5" t="s">
        <v>11</v>
      </c>
      <c r="D11268" s="5" t="s">
        <v>12</v>
      </c>
      <c r="E11268" s="5" t="s">
        <v>10479</v>
      </c>
    </row>
    <row r="11269" spans="1:5" x14ac:dyDescent="0.25">
      <c r="A11269" s="5">
        <f>11261</f>
      </c>
      <c r="B11269" s="5" t="s">
        <v>10519</v>
      </c>
      <c r="C11269" s="5" t="s">
        <v>11</v>
      </c>
      <c r="D11269" s="5" t="s">
        <v>12</v>
      </c>
      <c r="E11269" s="5" t="s">
        <v>10479</v>
      </c>
    </row>
    <row r="11270" spans="1:5" x14ac:dyDescent="0.25">
      <c r="A11270" s="5">
        <f>11262</f>
      </c>
      <c r="B11270" s="5" t="s">
        <v>10520</v>
      </c>
      <c r="C11270" s="5" t="s">
        <v>11</v>
      </c>
      <c r="D11270" s="5" t="s">
        <v>12</v>
      </c>
      <c r="E11270" s="5" t="s">
        <v>10479</v>
      </c>
    </row>
    <row r="11271" spans="1:5" x14ac:dyDescent="0.25">
      <c r="A11271" s="5">
        <f>11263</f>
      </c>
      <c r="B11271" s="5" t="s">
        <v>10521</v>
      </c>
      <c r="C11271" s="5" t="s">
        <v>11</v>
      </c>
      <c r="D11271" s="5" t="s">
        <v>12</v>
      </c>
      <c r="E11271" s="5" t="s">
        <v>10479</v>
      </c>
    </row>
    <row r="11272" spans="1:5" x14ac:dyDescent="0.25">
      <c r="A11272" s="5">
        <f>11264</f>
      </c>
      <c r="B11272" s="5" t="s">
        <v>10522</v>
      </c>
      <c r="C11272" s="5" t="s">
        <v>11</v>
      </c>
      <c r="D11272" s="5" t="s">
        <v>12</v>
      </c>
      <c r="E11272" s="5" t="s">
        <v>10479</v>
      </c>
    </row>
    <row r="11273" spans="1:5" x14ac:dyDescent="0.25">
      <c r="A11273" s="5">
        <f>11265</f>
      </c>
      <c r="B11273" s="5" t="s">
        <v>10523</v>
      </c>
      <c r="C11273" s="5" t="s">
        <v>11</v>
      </c>
      <c r="D11273" s="5" t="s">
        <v>12</v>
      </c>
      <c r="E11273" s="5" t="s">
        <v>10479</v>
      </c>
    </row>
    <row r="11274" spans="1:5" x14ac:dyDescent="0.25">
      <c r="A11274" s="5">
        <f>11266</f>
      </c>
      <c r="B11274" s="5" t="s">
        <v>10524</v>
      </c>
      <c r="C11274" s="5" t="s">
        <v>11</v>
      </c>
      <c r="D11274" s="5" t="s">
        <v>12</v>
      </c>
      <c r="E11274" s="5" t="s">
        <v>10479</v>
      </c>
    </row>
    <row r="11275" spans="1:5" x14ac:dyDescent="0.25">
      <c r="A11275" s="5">
        <f>11267</f>
      </c>
      <c r="B11275" s="5" t="s">
        <v>10525</v>
      </c>
      <c r="C11275" s="5" t="s">
        <v>11</v>
      </c>
      <c r="D11275" s="5" t="s">
        <v>12</v>
      </c>
      <c r="E11275" s="5" t="s">
        <v>10479</v>
      </c>
    </row>
    <row r="11276" spans="1:5" x14ac:dyDescent="0.25">
      <c r="A11276" s="5">
        <f>11268</f>
      </c>
      <c r="B11276" s="5" t="s">
        <v>10526</v>
      </c>
      <c r="C11276" s="5" t="s">
        <v>11</v>
      </c>
      <c r="D11276" s="5" t="s">
        <v>12</v>
      </c>
      <c r="E11276" s="5" t="s">
        <v>10479</v>
      </c>
    </row>
    <row r="11277" spans="1:5" x14ac:dyDescent="0.25">
      <c r="A11277" s="5">
        <f>11269</f>
      </c>
      <c r="B11277" s="5" t="s">
        <v>10527</v>
      </c>
      <c r="C11277" s="5" t="s">
        <v>11</v>
      </c>
      <c r="D11277" s="5" t="s">
        <v>12</v>
      </c>
      <c r="E11277" s="5" t="s">
        <v>10479</v>
      </c>
    </row>
    <row r="11278" spans="1:5" x14ac:dyDescent="0.25">
      <c r="A11278" s="5">
        <f>11270</f>
      </c>
      <c r="B11278" s="5" t="s">
        <v>10528</v>
      </c>
      <c r="C11278" s="5" t="s">
        <v>11</v>
      </c>
      <c r="D11278" s="5" t="s">
        <v>12</v>
      </c>
      <c r="E11278" s="5" t="s">
        <v>10479</v>
      </c>
    </row>
    <row r="11279" spans="1:5" x14ac:dyDescent="0.25">
      <c r="A11279" s="5">
        <f>11271</f>
      </c>
      <c r="B11279" s="5" t="s">
        <v>10529</v>
      </c>
      <c r="C11279" s="5" t="s">
        <v>11</v>
      </c>
      <c r="D11279" s="5" t="s">
        <v>12</v>
      </c>
      <c r="E11279" s="5" t="s">
        <v>10479</v>
      </c>
    </row>
    <row r="11280" spans="1:5" x14ac:dyDescent="0.25">
      <c r="A11280" s="5">
        <f>11272</f>
      </c>
      <c r="B11280" s="5" t="s">
        <v>10530</v>
      </c>
      <c r="C11280" s="5" t="s">
        <v>11</v>
      </c>
      <c r="D11280" s="5" t="s">
        <v>12</v>
      </c>
      <c r="E11280" s="5" t="s">
        <v>3962</v>
      </c>
    </row>
    <row r="11281" spans="1:5" x14ac:dyDescent="0.25">
      <c r="A11281" s="5">
        <f>11273</f>
      </c>
      <c r="B11281" s="5" t="s">
        <v>10530</v>
      </c>
      <c r="C11281" s="5" t="s">
        <v>11</v>
      </c>
      <c r="D11281" s="5" t="s">
        <v>12</v>
      </c>
      <c r="E11281" s="5" t="s">
        <v>3962</v>
      </c>
    </row>
    <row r="11282" spans="1:5" x14ac:dyDescent="0.25">
      <c r="A11282" s="5">
        <f>11274</f>
      </c>
      <c r="B11282" s="5" t="s">
        <v>10531</v>
      </c>
      <c r="C11282" s="5" t="s">
        <v>11</v>
      </c>
      <c r="D11282" s="5" t="s">
        <v>12</v>
      </c>
      <c r="E11282" s="5" t="s">
        <v>3962</v>
      </c>
    </row>
    <row r="11283" spans="1:5" x14ac:dyDescent="0.25">
      <c r="A11283" s="5">
        <f>11275</f>
      </c>
      <c r="B11283" s="5" t="s">
        <v>10532</v>
      </c>
      <c r="C11283" s="5" t="s">
        <v>11</v>
      </c>
      <c r="D11283" s="5" t="s">
        <v>12</v>
      </c>
      <c r="E11283" s="5" t="s">
        <v>3962</v>
      </c>
    </row>
    <row r="11284" spans="1:5" x14ac:dyDescent="0.25">
      <c r="A11284" s="5">
        <f>11276</f>
      </c>
      <c r="B11284" s="5" t="s">
        <v>10533</v>
      </c>
      <c r="C11284" s="5" t="s">
        <v>11</v>
      </c>
      <c r="D11284" s="5" t="s">
        <v>12</v>
      </c>
      <c r="E11284" s="5" t="s">
        <v>2389</v>
      </c>
    </row>
    <row r="11285" spans="1:5" x14ac:dyDescent="0.25">
      <c r="A11285" s="5">
        <f>11277</f>
      </c>
      <c r="B11285" s="5" t="s">
        <v>10534</v>
      </c>
      <c r="C11285" s="5" t="s">
        <v>11</v>
      </c>
      <c r="D11285" s="5" t="s">
        <v>12</v>
      </c>
      <c r="E11285" s="5" t="s">
        <v>2244</v>
      </c>
    </row>
    <row r="11286" spans="1:5" x14ac:dyDescent="0.25">
      <c r="A11286" s="5">
        <f>11278</f>
      </c>
      <c r="B11286" s="5" t="s">
        <v>10535</v>
      </c>
      <c r="C11286" s="5" t="s">
        <v>11</v>
      </c>
      <c r="D11286" s="5" t="s">
        <v>12</v>
      </c>
      <c r="E11286" s="5" t="s">
        <v>3382</v>
      </c>
    </row>
    <row r="11287" spans="1:5" x14ac:dyDescent="0.25">
      <c r="A11287" s="5">
        <f>11279</f>
      </c>
      <c r="B11287" s="5" t="s">
        <v>10536</v>
      </c>
      <c r="C11287" s="5" t="s">
        <v>11</v>
      </c>
      <c r="D11287" s="5" t="s">
        <v>12</v>
      </c>
      <c r="E11287" s="5" t="s">
        <v>3674</v>
      </c>
    </row>
    <row r="11288" spans="1:5" x14ac:dyDescent="0.25">
      <c r="A11288" s="5">
        <f>11280</f>
      </c>
      <c r="B11288" s="5" t="s">
        <v>10537</v>
      </c>
      <c r="C11288" s="5" t="s">
        <v>11</v>
      </c>
      <c r="D11288" s="5" t="s">
        <v>12</v>
      </c>
      <c r="E11288" s="5" t="s">
        <v>1051</v>
      </c>
    </row>
    <row r="11289" spans="1:5" x14ac:dyDescent="0.25">
      <c r="A11289" s="5">
        <f>11281</f>
      </c>
      <c r="B11289" s="5" t="s">
        <v>10538</v>
      </c>
      <c r="C11289" s="5" t="s">
        <v>11</v>
      </c>
      <c r="D11289" s="5" t="s">
        <v>12</v>
      </c>
      <c r="E11289" s="5" t="s">
        <v>9578</v>
      </c>
    </row>
    <row r="11290" spans="1:5" x14ac:dyDescent="0.25">
      <c r="A11290" s="5">
        <f>11282</f>
      </c>
      <c r="B11290" s="5" t="s">
        <v>10539</v>
      </c>
      <c r="C11290" s="5" t="s">
        <v>11</v>
      </c>
      <c r="D11290" s="5" t="s">
        <v>12</v>
      </c>
      <c r="E11290" s="5" t="s">
        <v>2598</v>
      </c>
    </row>
    <row r="11291" spans="1:5" x14ac:dyDescent="0.25">
      <c r="A11291" s="5">
        <f>11283</f>
      </c>
      <c r="B11291" s="5" t="s">
        <v>10540</v>
      </c>
      <c r="C11291" s="5" t="s">
        <v>11</v>
      </c>
      <c r="D11291" s="5" t="s">
        <v>12</v>
      </c>
      <c r="E11291" s="5" t="s">
        <v>10541</v>
      </c>
    </row>
    <row r="11292" spans="1:5" x14ac:dyDescent="0.25">
      <c r="A11292" s="5">
        <f>11284</f>
      </c>
      <c r="B11292" s="5" t="s">
        <v>10542</v>
      </c>
      <c r="C11292" s="5" t="s">
        <v>11</v>
      </c>
      <c r="D11292" s="5" t="s">
        <v>12</v>
      </c>
      <c r="E11292" s="5" t="s">
        <v>2596</v>
      </c>
    </row>
    <row r="11293" spans="1:5" x14ac:dyDescent="0.25">
      <c r="A11293" s="5">
        <f>11285</f>
      </c>
      <c r="B11293" s="5" t="s">
        <v>10543</v>
      </c>
      <c r="C11293" s="5" t="s">
        <v>11</v>
      </c>
      <c r="D11293" s="5" t="s">
        <v>12</v>
      </c>
      <c r="E11293" s="5" t="s">
        <v>3955</v>
      </c>
    </row>
    <row r="11294" spans="1:5" x14ac:dyDescent="0.25">
      <c r="A11294" s="5">
        <f>11286</f>
      </c>
      <c r="B11294" s="5" t="s">
        <v>10544</v>
      </c>
      <c r="C11294" s="5" t="s">
        <v>11</v>
      </c>
      <c r="D11294" s="5" t="s">
        <v>12</v>
      </c>
      <c r="E11294" s="5" t="s">
        <v>3723</v>
      </c>
    </row>
    <row r="11295" spans="1:5" x14ac:dyDescent="0.25">
      <c r="A11295" s="5">
        <f>11287</f>
      </c>
      <c r="B11295" s="5" t="s">
        <v>10545</v>
      </c>
      <c r="C11295" s="5" t="s">
        <v>11</v>
      </c>
      <c r="D11295" s="5" t="s">
        <v>12</v>
      </c>
      <c r="E11295" s="5" t="s">
        <v>778</v>
      </c>
    </row>
    <row r="11296" spans="1:5" x14ac:dyDescent="0.25">
      <c r="A11296" s="5">
        <f>11288</f>
      </c>
      <c r="B11296" s="5" t="s">
        <v>10546</v>
      </c>
      <c r="C11296" s="5" t="s">
        <v>11</v>
      </c>
      <c r="D11296" s="5" t="s">
        <v>12</v>
      </c>
      <c r="E11296" s="5" t="s">
        <v>930</v>
      </c>
    </row>
    <row r="11297" spans="1:5" x14ac:dyDescent="0.25">
      <c r="A11297" s="5">
        <f>11289</f>
      </c>
      <c r="B11297" s="5" t="s">
        <v>10547</v>
      </c>
      <c r="C11297" s="5" t="s">
        <v>11</v>
      </c>
      <c r="D11297" s="5" t="s">
        <v>12</v>
      </c>
      <c r="E11297" s="5" t="s">
        <v>3386</v>
      </c>
    </row>
    <row r="11298" spans="1:5" x14ac:dyDescent="0.25">
      <c r="A11298" s="5">
        <f>11290</f>
      </c>
      <c r="B11298" s="5" t="s">
        <v>10548</v>
      </c>
      <c r="C11298" s="5" t="s">
        <v>11</v>
      </c>
      <c r="D11298" s="5" t="s">
        <v>12</v>
      </c>
      <c r="E11298" s="5" t="s">
        <v>10549</v>
      </c>
    </row>
    <row r="11299" spans="1:5" x14ac:dyDescent="0.25">
      <c r="A11299" s="5">
        <f>11291</f>
      </c>
      <c r="B11299" s="5" t="s">
        <v>10550</v>
      </c>
      <c r="C11299" s="5" t="s">
        <v>11</v>
      </c>
      <c r="D11299" s="5" t="s">
        <v>12</v>
      </c>
      <c r="E11299" s="5" t="s">
        <v>3875</v>
      </c>
    </row>
    <row r="11300" spans="1:5" x14ac:dyDescent="0.25">
      <c r="A11300" s="5">
        <f>11292</f>
      </c>
      <c r="B11300" s="5" t="s">
        <v>10551</v>
      </c>
      <c r="C11300" s="5" t="s">
        <v>11</v>
      </c>
      <c r="D11300" s="5" t="s">
        <v>12</v>
      </c>
      <c r="E11300" s="5" t="s">
        <v>828</v>
      </c>
    </row>
    <row r="11301" spans="1:5" x14ac:dyDescent="0.25">
      <c r="A11301" s="5">
        <f>11293</f>
      </c>
      <c r="B11301" s="5" t="s">
        <v>10552</v>
      </c>
      <c r="C11301" s="5" t="s">
        <v>11</v>
      </c>
      <c r="D11301" s="5" t="s">
        <v>12</v>
      </c>
      <c r="E11301" s="5" t="s">
        <v>4018</v>
      </c>
    </row>
    <row r="11302" spans="1:5" x14ac:dyDescent="0.25">
      <c r="A11302" s="5">
        <f>11294</f>
      </c>
      <c r="B11302" s="5" t="s">
        <v>10553</v>
      </c>
      <c r="C11302" s="5" t="s">
        <v>11</v>
      </c>
      <c r="D11302" s="5" t="s">
        <v>12</v>
      </c>
      <c r="E11302" s="5" t="s">
        <v>996</v>
      </c>
    </row>
    <row r="11303" spans="1:5" x14ac:dyDescent="0.25">
      <c r="A11303" s="5">
        <f>11295</f>
      </c>
      <c r="B11303" s="5" t="s">
        <v>10554</v>
      </c>
      <c r="C11303" s="5" t="s">
        <v>11</v>
      </c>
      <c r="D11303" s="5" t="s">
        <v>12</v>
      </c>
      <c r="E11303" s="5" t="s">
        <v>2394</v>
      </c>
    </row>
    <row r="11304" spans="1:5" x14ac:dyDescent="0.25">
      <c r="A11304" s="5">
        <f>11296</f>
      </c>
      <c r="B11304" s="5" t="s">
        <v>10555</v>
      </c>
      <c r="C11304" s="5" t="s">
        <v>11</v>
      </c>
      <c r="D11304" s="5" t="s">
        <v>12</v>
      </c>
      <c r="E11304" s="5" t="s">
        <v>9521</v>
      </c>
    </row>
    <row r="11305" spans="1:5" x14ac:dyDescent="0.25">
      <c r="A11305" s="5">
        <f>11297</f>
      </c>
      <c r="B11305" s="5" t="s">
        <v>10556</v>
      </c>
      <c r="C11305" s="5" t="s">
        <v>11</v>
      </c>
      <c r="D11305" s="5" t="s">
        <v>12</v>
      </c>
      <c r="E11305" s="5" t="s">
        <v>10557</v>
      </c>
    </row>
    <row r="11306" spans="1:5" x14ac:dyDescent="0.25">
      <c r="A11306" s="5">
        <f>11298</f>
      </c>
      <c r="B11306" s="5" t="s">
        <v>10558</v>
      </c>
      <c r="C11306" s="5" t="s">
        <v>11</v>
      </c>
      <c r="D11306" s="5" t="s">
        <v>12</v>
      </c>
      <c r="E11306" s="5" t="s">
        <v>4156</v>
      </c>
    </row>
    <row r="11307" spans="1:5" x14ac:dyDescent="0.25">
      <c r="A11307" s="5">
        <f>11299</f>
      </c>
      <c r="B11307" s="5" t="s">
        <v>10559</v>
      </c>
      <c r="C11307" s="5" t="s">
        <v>11</v>
      </c>
      <c r="D11307" s="5" t="s">
        <v>12</v>
      </c>
      <c r="E11307" s="5" t="s">
        <v>843</v>
      </c>
    </row>
    <row r="11308" spans="1:5" x14ac:dyDescent="0.25">
      <c r="A11308" s="5">
        <f>11300</f>
      </c>
      <c r="B11308" s="5" t="s">
        <v>10560</v>
      </c>
      <c r="C11308" s="5" t="s">
        <v>11</v>
      </c>
      <c r="D11308" s="5" t="s">
        <v>12</v>
      </c>
      <c r="E11308" s="5" t="s">
        <v>2675</v>
      </c>
    </row>
    <row r="11309" spans="1:5" x14ac:dyDescent="0.25">
      <c r="A11309" s="5">
        <f>11301</f>
      </c>
      <c r="B11309" s="5" t="s">
        <v>10561</v>
      </c>
      <c r="C11309" s="5" t="s">
        <v>11</v>
      </c>
      <c r="D11309" s="5" t="s">
        <v>12</v>
      </c>
      <c r="E11309" s="5" t="s">
        <v>10562</v>
      </c>
    </row>
    <row r="11310" spans="1:5" x14ac:dyDescent="0.25">
      <c r="A11310" s="5">
        <f>11302</f>
      </c>
      <c r="B11310" s="5" t="s">
        <v>10563</v>
      </c>
      <c r="C11310" s="5" t="s">
        <v>11</v>
      </c>
      <c r="D11310" s="5" t="s">
        <v>12</v>
      </c>
      <c r="E11310" s="5" t="s">
        <v>778</v>
      </c>
    </row>
    <row r="11311" spans="1:5" x14ac:dyDescent="0.25">
      <c r="A11311" s="5">
        <f>11303</f>
      </c>
      <c r="B11311" s="5" t="s">
        <v>10564</v>
      </c>
      <c r="C11311" s="5" t="s">
        <v>11</v>
      </c>
      <c r="D11311" s="5" t="s">
        <v>12</v>
      </c>
      <c r="E11311" s="5" t="s">
        <v>999</v>
      </c>
    </row>
    <row r="11312" spans="1:5" x14ac:dyDescent="0.25">
      <c r="A11312" s="5">
        <f>11304</f>
      </c>
      <c r="B11312" s="5" t="s">
        <v>10565</v>
      </c>
      <c r="C11312" s="5" t="s">
        <v>11</v>
      </c>
      <c r="D11312" s="5" t="s">
        <v>12</v>
      </c>
      <c r="E11312" s="5" t="s">
        <v>2409</v>
      </c>
    </row>
    <row r="11313" spans="1:5" x14ac:dyDescent="0.25">
      <c r="A11313" s="5">
        <f>11305</f>
      </c>
      <c r="B11313" s="5" t="s">
        <v>10566</v>
      </c>
      <c r="C11313" s="5" t="s">
        <v>11</v>
      </c>
      <c r="D11313" s="5" t="s">
        <v>12</v>
      </c>
      <c r="E11313" s="5" t="s">
        <v>1074</v>
      </c>
    </row>
    <row r="11314" spans="1:5" x14ac:dyDescent="0.25">
      <c r="A11314" s="5">
        <f>11306</f>
      </c>
      <c r="B11314" s="5" t="s">
        <v>10567</v>
      </c>
      <c r="C11314" s="5" t="s">
        <v>11</v>
      </c>
      <c r="D11314" s="5" t="s">
        <v>12</v>
      </c>
      <c r="E11314" s="5" t="s">
        <v>4105</v>
      </c>
    </row>
    <row r="11315" spans="1:5" x14ac:dyDescent="0.25">
      <c r="A11315" s="5">
        <f>11307</f>
      </c>
      <c r="B11315" s="5" t="s">
        <v>10568</v>
      </c>
      <c r="C11315" s="5" t="s">
        <v>11</v>
      </c>
      <c r="D11315" s="5" t="s">
        <v>12</v>
      </c>
      <c r="E11315" s="5" t="s">
        <v>3759</v>
      </c>
    </row>
    <row r="11316" spans="1:5" x14ac:dyDescent="0.25">
      <c r="A11316" s="5">
        <f>11308</f>
      </c>
      <c r="B11316" s="5" t="s">
        <v>10569</v>
      </c>
      <c r="C11316" s="5" t="s">
        <v>11</v>
      </c>
      <c r="D11316" s="5" t="s">
        <v>12</v>
      </c>
      <c r="E11316" s="5" t="s">
        <v>3386</v>
      </c>
    </row>
    <row r="11317" spans="1:5" x14ac:dyDescent="0.25">
      <c r="A11317" s="5">
        <f>11309</f>
      </c>
      <c r="B11317" s="5" t="s">
        <v>10570</v>
      </c>
      <c r="C11317" s="5" t="s">
        <v>11</v>
      </c>
      <c r="D11317" s="5" t="s">
        <v>12</v>
      </c>
      <c r="E11317" s="5" t="s">
        <v>3561</v>
      </c>
    </row>
    <row r="11318" spans="1:5" x14ac:dyDescent="0.25">
      <c r="A11318" s="5">
        <f>11310</f>
      </c>
      <c r="B11318" s="5" t="s">
        <v>10571</v>
      </c>
      <c r="C11318" s="5" t="s">
        <v>11</v>
      </c>
      <c r="D11318" s="5" t="s">
        <v>12</v>
      </c>
      <c r="E11318" s="5" t="s">
        <v>3561</v>
      </c>
    </row>
    <row r="11319" spans="1:5" x14ac:dyDescent="0.25">
      <c r="A11319" s="5">
        <f>11311</f>
      </c>
      <c r="B11319" s="5" t="s">
        <v>10572</v>
      </c>
      <c r="C11319" s="5" t="s">
        <v>11</v>
      </c>
      <c r="D11319" s="5" t="s">
        <v>12</v>
      </c>
      <c r="E11319" s="5" t="s">
        <v>2840</v>
      </c>
    </row>
    <row r="11320" spans="1:5" x14ac:dyDescent="0.25">
      <c r="A11320" s="5">
        <f>11312</f>
      </c>
      <c r="B11320" s="5" t="s">
        <v>10573</v>
      </c>
      <c r="C11320" s="5" t="s">
        <v>11</v>
      </c>
      <c r="D11320" s="5" t="s">
        <v>12</v>
      </c>
      <c r="E11320" s="5" t="s">
        <v>10574</v>
      </c>
    </row>
    <row r="11321" spans="1:5" x14ac:dyDescent="0.25">
      <c r="A11321" s="5">
        <f>11313</f>
      </c>
      <c r="B11321" s="5" t="s">
        <v>10575</v>
      </c>
      <c r="C11321" s="5" t="s">
        <v>11</v>
      </c>
      <c r="D11321" s="5" t="s">
        <v>12</v>
      </c>
      <c r="E11321" s="5" t="s">
        <v>2241</v>
      </c>
    </row>
    <row r="11322" spans="1:5" x14ac:dyDescent="0.25">
      <c r="A11322" s="5">
        <f>11314</f>
      </c>
      <c r="B11322" s="5" t="s">
        <v>10576</v>
      </c>
      <c r="C11322" s="5" t="s">
        <v>11</v>
      </c>
      <c r="D11322" s="5" t="s">
        <v>12</v>
      </c>
      <c r="E11322" s="5" t="s">
        <v>7767</v>
      </c>
    </row>
    <row r="11323" spans="1:5" x14ac:dyDescent="0.25">
      <c r="A11323" s="5">
        <f>11315</f>
      </c>
      <c r="B11323" s="5" t="s">
        <v>10577</v>
      </c>
      <c r="C11323" s="5" t="s">
        <v>11</v>
      </c>
      <c r="D11323" s="5" t="s">
        <v>12</v>
      </c>
      <c r="E11323" s="5" t="s">
        <v>762</v>
      </c>
    </row>
    <row r="11324" spans="1:5" x14ac:dyDescent="0.25">
      <c r="A11324" s="5">
        <f>11316</f>
      </c>
      <c r="B11324" s="5" t="s">
        <v>10578</v>
      </c>
      <c r="C11324" s="5" t="s">
        <v>11</v>
      </c>
      <c r="D11324" s="5" t="s">
        <v>12</v>
      </c>
      <c r="E11324" s="5" t="s">
        <v>3875</v>
      </c>
    </row>
    <row r="11325" spans="1:5" x14ac:dyDescent="0.25">
      <c r="A11325" s="5">
        <f>11317</f>
      </c>
      <c r="B11325" s="5" t="s">
        <v>10579</v>
      </c>
      <c r="C11325" s="5" t="s">
        <v>11</v>
      </c>
      <c r="D11325" s="5" t="s">
        <v>12</v>
      </c>
      <c r="E11325" s="5" t="s">
        <v>10580</v>
      </c>
    </row>
    <row r="11326" spans="1:5" x14ac:dyDescent="0.25">
      <c r="A11326" s="5">
        <f>11318</f>
      </c>
      <c r="B11326" s="5" t="s">
        <v>10581</v>
      </c>
      <c r="C11326" s="5" t="s">
        <v>11</v>
      </c>
      <c r="D11326" s="5" t="s">
        <v>12</v>
      </c>
      <c r="E11326" s="5" t="s">
        <v>3543</v>
      </c>
    </row>
    <row r="11327" spans="1:5" x14ac:dyDescent="0.25">
      <c r="A11327" s="5">
        <f>11319</f>
      </c>
      <c r="B11327" s="5" t="s">
        <v>10582</v>
      </c>
      <c r="C11327" s="5" t="s">
        <v>11</v>
      </c>
      <c r="D11327" s="5" t="s">
        <v>12</v>
      </c>
      <c r="E11327" s="5" t="s">
        <v>3586</v>
      </c>
    </row>
    <row r="11328" spans="1:5" x14ac:dyDescent="0.25">
      <c r="A11328" s="5">
        <f>11320</f>
      </c>
      <c r="B11328" s="5" t="s">
        <v>10583</v>
      </c>
      <c r="C11328" s="5" t="s">
        <v>11</v>
      </c>
      <c r="D11328" s="5" t="s">
        <v>12</v>
      </c>
      <c r="E11328" s="5" t="s">
        <v>3571</v>
      </c>
    </row>
    <row r="11329" spans="1:5" x14ac:dyDescent="0.25">
      <c r="A11329" s="5">
        <f>11321</f>
      </c>
      <c r="B11329" s="5" t="s">
        <v>10584</v>
      </c>
      <c r="C11329" s="5" t="s">
        <v>11</v>
      </c>
      <c r="D11329" s="5" t="s">
        <v>12</v>
      </c>
      <c r="E11329" s="5" t="s">
        <v>957</v>
      </c>
    </row>
    <row r="11330" spans="1:5" x14ac:dyDescent="0.25">
      <c r="A11330" s="5">
        <f>11322</f>
      </c>
      <c r="B11330" s="5" t="s">
        <v>10585</v>
      </c>
      <c r="C11330" s="5" t="s">
        <v>11</v>
      </c>
      <c r="D11330" s="5" t="s">
        <v>12</v>
      </c>
      <c r="E11330" s="5" t="s">
        <v>957</v>
      </c>
    </row>
    <row r="11331" spans="1:5" x14ac:dyDescent="0.25">
      <c r="A11331" s="5">
        <f>11323</f>
      </c>
      <c r="B11331" s="5" t="s">
        <v>10586</v>
      </c>
      <c r="C11331" s="5" t="s">
        <v>11</v>
      </c>
      <c r="D11331" s="5" t="s">
        <v>12</v>
      </c>
      <c r="E11331" s="5" t="s">
        <v>957</v>
      </c>
    </row>
    <row r="11332" spans="1:5" x14ac:dyDescent="0.25">
      <c r="A11332" s="5">
        <f>11324</f>
      </c>
      <c r="B11332" s="5" t="s">
        <v>10587</v>
      </c>
      <c r="C11332" s="5" t="s">
        <v>11</v>
      </c>
      <c r="D11332" s="5" t="s">
        <v>12</v>
      </c>
      <c r="E11332" s="5" t="s">
        <v>957</v>
      </c>
    </row>
    <row r="11333" spans="1:5" x14ac:dyDescent="0.25">
      <c r="A11333" s="5">
        <f>11325</f>
      </c>
      <c r="B11333" s="5" t="s">
        <v>10588</v>
      </c>
      <c r="C11333" s="5" t="s">
        <v>11</v>
      </c>
      <c r="D11333" s="5" t="s">
        <v>12</v>
      </c>
      <c r="E11333" s="5" t="s">
        <v>957</v>
      </c>
    </row>
    <row r="11334" spans="1:5" x14ac:dyDescent="0.25">
      <c r="A11334" s="5">
        <f>11326</f>
      </c>
      <c r="B11334" s="5" t="s">
        <v>10589</v>
      </c>
      <c r="C11334" s="5" t="s">
        <v>11</v>
      </c>
      <c r="D11334" s="5" t="s">
        <v>12</v>
      </c>
      <c r="E11334" s="5" t="s">
        <v>3680</v>
      </c>
    </row>
    <row r="11335" spans="1:5" x14ac:dyDescent="0.25">
      <c r="A11335" s="5">
        <f>11327</f>
      </c>
      <c r="B11335" s="5" t="s">
        <v>10590</v>
      </c>
      <c r="C11335" s="5" t="s">
        <v>11</v>
      </c>
      <c r="D11335" s="5" t="s">
        <v>12</v>
      </c>
      <c r="E11335" s="5" t="s">
        <v>2577</v>
      </c>
    </row>
    <row r="11336" spans="1:5" x14ac:dyDescent="0.25">
      <c r="A11336" s="5">
        <f>11328</f>
      </c>
      <c r="B11336" s="5" t="s">
        <v>10591</v>
      </c>
      <c r="C11336" s="5" t="s">
        <v>11</v>
      </c>
      <c r="D11336" s="5" t="s">
        <v>12</v>
      </c>
      <c r="E11336" s="5" t="s">
        <v>921</v>
      </c>
    </row>
    <row r="11337" spans="1:5" x14ac:dyDescent="0.25">
      <c r="A11337" s="5">
        <f>11329</f>
      </c>
      <c r="B11337" s="5" t="s">
        <v>10592</v>
      </c>
      <c r="C11337" s="5" t="s">
        <v>11</v>
      </c>
      <c r="D11337" s="5" t="s">
        <v>12</v>
      </c>
      <c r="E11337" s="5" t="s">
        <v>2293</v>
      </c>
    </row>
    <row r="11338" spans="1:5" x14ac:dyDescent="0.25">
      <c r="A11338" s="5">
        <f>11330</f>
      </c>
      <c r="B11338" s="5" t="s">
        <v>10593</v>
      </c>
      <c r="C11338" s="5" t="s">
        <v>11</v>
      </c>
      <c r="D11338" s="5" t="s">
        <v>12</v>
      </c>
      <c r="E11338" s="5" t="s">
        <v>1077</v>
      </c>
    </row>
    <row r="11339" spans="1:5" x14ac:dyDescent="0.25">
      <c r="A11339" s="5">
        <f>11331</f>
      </c>
      <c r="B11339" s="5" t="s">
        <v>10594</v>
      </c>
      <c r="C11339" s="5" t="s">
        <v>11</v>
      </c>
      <c r="D11339" s="5" t="s">
        <v>12</v>
      </c>
      <c r="E11339" s="5" t="s">
        <v>3536</v>
      </c>
    </row>
    <row r="11340" spans="1:5" x14ac:dyDescent="0.25">
      <c r="A11340" s="5">
        <f>11332</f>
      </c>
      <c r="B11340" s="5" t="s">
        <v>10595</v>
      </c>
      <c r="C11340" s="5" t="s">
        <v>11</v>
      </c>
      <c r="D11340" s="5" t="s">
        <v>12</v>
      </c>
      <c r="E11340" s="5" t="s">
        <v>3555</v>
      </c>
    </row>
    <row r="11341" spans="1:5" x14ac:dyDescent="0.25">
      <c r="A11341" s="5">
        <f>11333</f>
      </c>
      <c r="B11341" s="5" t="s">
        <v>10596</v>
      </c>
      <c r="C11341" s="5" t="s">
        <v>11</v>
      </c>
      <c r="D11341" s="5" t="s">
        <v>12</v>
      </c>
      <c r="E11341" s="5" t="s">
        <v>2626</v>
      </c>
    </row>
    <row r="11342" spans="1:5" x14ac:dyDescent="0.25">
      <c r="A11342" s="5">
        <f>11334</f>
      </c>
      <c r="B11342" s="5" t="s">
        <v>10597</v>
      </c>
      <c r="C11342" s="5" t="s">
        <v>11</v>
      </c>
      <c r="D11342" s="5" t="s">
        <v>12</v>
      </c>
      <c r="E11342" s="5" t="s">
        <v>2614</v>
      </c>
    </row>
    <row r="11343" spans="1:5" x14ac:dyDescent="0.25">
      <c r="A11343" s="5">
        <f>11335</f>
      </c>
      <c r="B11343" s="5" t="s">
        <v>10598</v>
      </c>
      <c r="C11343" s="5" t="s">
        <v>11</v>
      </c>
      <c r="D11343" s="5" t="s">
        <v>12</v>
      </c>
      <c r="E11343" s="5" t="s">
        <v>838</v>
      </c>
    </row>
    <row r="11344" spans="1:5" x14ac:dyDescent="0.25">
      <c r="A11344" s="5">
        <f>11336</f>
      </c>
      <c r="B11344" s="5" t="s">
        <v>10599</v>
      </c>
      <c r="C11344" s="5" t="s">
        <v>11</v>
      </c>
      <c r="D11344" s="5" t="s">
        <v>12</v>
      </c>
      <c r="E11344" s="5" t="s">
        <v>2592</v>
      </c>
    </row>
    <row r="11345" spans="1:5" x14ac:dyDescent="0.25">
      <c r="A11345" s="5">
        <f>11337</f>
      </c>
      <c r="B11345" s="5" t="s">
        <v>10600</v>
      </c>
      <c r="C11345" s="5" t="s">
        <v>11</v>
      </c>
      <c r="D11345" s="5" t="s">
        <v>12</v>
      </c>
      <c r="E11345" s="5" t="s">
        <v>2639</v>
      </c>
    </row>
    <row r="11346" spans="1:5" x14ac:dyDescent="0.25">
      <c r="A11346" s="5">
        <f>11338</f>
      </c>
      <c r="B11346" s="5" t="s">
        <v>10601</v>
      </c>
      <c r="C11346" s="5" t="s">
        <v>11</v>
      </c>
      <c r="D11346" s="5" t="s">
        <v>12</v>
      </c>
      <c r="E11346" s="5" t="s">
        <v>3516</v>
      </c>
    </row>
    <row r="11347" spans="1:5" x14ac:dyDescent="0.25">
      <c r="A11347" s="5">
        <f>11339</f>
      </c>
      <c r="B11347" s="5" t="s">
        <v>10602</v>
      </c>
      <c r="C11347" s="5" t="s">
        <v>11</v>
      </c>
      <c r="D11347" s="5" t="s">
        <v>12</v>
      </c>
      <c r="E11347" s="5" t="s">
        <v>3516</v>
      </c>
    </row>
    <row r="11348" spans="1:5" x14ac:dyDescent="0.25">
      <c r="A11348" s="5">
        <f>11340</f>
      </c>
      <c r="B11348" s="5" t="s">
        <v>10603</v>
      </c>
      <c r="C11348" s="5" t="s">
        <v>11</v>
      </c>
      <c r="D11348" s="5" t="s">
        <v>12</v>
      </c>
      <c r="E11348" s="5" t="s">
        <v>3516</v>
      </c>
    </row>
    <row r="11349" spans="1:5" x14ac:dyDescent="0.25">
      <c r="A11349" s="5">
        <f>11341</f>
      </c>
      <c r="B11349" s="5" t="s">
        <v>10604</v>
      </c>
      <c r="C11349" s="5" t="s">
        <v>11</v>
      </c>
      <c r="D11349" s="5" t="s">
        <v>12</v>
      </c>
      <c r="E11349" s="5" t="s">
        <v>3516</v>
      </c>
    </row>
    <row r="11350" spans="1:5" x14ac:dyDescent="0.25">
      <c r="A11350" s="5">
        <f>11342</f>
      </c>
      <c r="B11350" s="5" t="s">
        <v>10605</v>
      </c>
      <c r="C11350" s="5" t="s">
        <v>11</v>
      </c>
      <c r="D11350" s="5" t="s">
        <v>12</v>
      </c>
      <c r="E11350" s="5" t="s">
        <v>3962</v>
      </c>
    </row>
    <row r="11351" spans="1:5" x14ac:dyDescent="0.25">
      <c r="A11351" s="5">
        <f>11343</f>
      </c>
      <c r="B11351" s="5" t="s">
        <v>10606</v>
      </c>
      <c r="C11351" s="5" t="s">
        <v>11</v>
      </c>
      <c r="D11351" s="5" t="s">
        <v>12</v>
      </c>
      <c r="E11351" s="5" t="s">
        <v>3962</v>
      </c>
    </row>
    <row r="11352" spans="1:5" x14ac:dyDescent="0.25">
      <c r="A11352" s="5">
        <f>11344</f>
      </c>
      <c r="B11352" s="5" t="s">
        <v>10607</v>
      </c>
      <c r="C11352" s="5" t="s">
        <v>11</v>
      </c>
      <c r="D11352" s="5" t="s">
        <v>12</v>
      </c>
      <c r="E11352" s="5" t="s">
        <v>3962</v>
      </c>
    </row>
    <row r="11353" spans="1:5" x14ac:dyDescent="0.25">
      <c r="A11353" s="5">
        <f>11345</f>
      </c>
      <c r="B11353" s="5" t="s">
        <v>10608</v>
      </c>
      <c r="C11353" s="5" t="s">
        <v>11</v>
      </c>
      <c r="D11353" s="5" t="s">
        <v>12</v>
      </c>
      <c r="E11353" s="5" t="s">
        <v>3962</v>
      </c>
    </row>
    <row r="11354" spans="1:5" x14ac:dyDescent="0.25">
      <c r="A11354" s="5">
        <f>11346</f>
      </c>
      <c r="B11354" s="5" t="s">
        <v>10609</v>
      </c>
      <c r="C11354" s="5" t="s">
        <v>11</v>
      </c>
      <c r="D11354" s="5" t="s">
        <v>12</v>
      </c>
      <c r="E11354" s="5" t="s">
        <v>2823</v>
      </c>
    </row>
    <row r="11355" spans="1:5" x14ac:dyDescent="0.25">
      <c r="A11355" s="5">
        <f>11347</f>
      </c>
      <c r="B11355" s="5" t="s">
        <v>10610</v>
      </c>
      <c r="C11355" s="5" t="s">
        <v>11</v>
      </c>
      <c r="D11355" s="5" t="s">
        <v>12</v>
      </c>
      <c r="E11355" s="5" t="s">
        <v>4075</v>
      </c>
    </row>
    <row r="11356" spans="1:5" x14ac:dyDescent="0.25">
      <c r="A11356" s="5">
        <f>11348</f>
      </c>
      <c r="B11356" s="5" t="s">
        <v>10611</v>
      </c>
      <c r="C11356" s="5" t="s">
        <v>11</v>
      </c>
      <c r="D11356" s="5" t="s">
        <v>12</v>
      </c>
      <c r="E11356" s="5" t="s">
        <v>4075</v>
      </c>
    </row>
    <row r="11357" spans="1:5" x14ac:dyDescent="0.25">
      <c r="A11357" s="5">
        <f>11349</f>
      </c>
      <c r="B11357" s="5" t="s">
        <v>10612</v>
      </c>
      <c r="C11357" s="5" t="s">
        <v>11</v>
      </c>
      <c r="D11357" s="5" t="s">
        <v>12</v>
      </c>
      <c r="E11357" s="5" t="s">
        <v>3367</v>
      </c>
    </row>
    <row r="11358" spans="1:5" x14ac:dyDescent="0.25">
      <c r="A11358" s="5">
        <f>11350</f>
      </c>
      <c r="B11358" s="5" t="s">
        <v>10613</v>
      </c>
      <c r="C11358" s="5" t="s">
        <v>11</v>
      </c>
      <c r="D11358" s="5" t="s">
        <v>12</v>
      </c>
      <c r="E11358" s="5" t="s">
        <v>930</v>
      </c>
    </row>
    <row r="11359" spans="1:5" x14ac:dyDescent="0.25">
      <c r="A11359" s="5">
        <f>11351</f>
      </c>
      <c r="B11359" s="5" t="s">
        <v>10614</v>
      </c>
      <c r="C11359" s="5" t="s">
        <v>11</v>
      </c>
      <c r="D11359" s="5" t="s">
        <v>12</v>
      </c>
      <c r="E11359" s="5" t="s">
        <v>2381</v>
      </c>
    </row>
    <row r="11360" spans="1:5" x14ac:dyDescent="0.25">
      <c r="A11360" s="5">
        <f>11352</f>
      </c>
      <c r="B11360" s="5" t="s">
        <v>10615</v>
      </c>
      <c r="C11360" s="5" t="s">
        <v>11</v>
      </c>
      <c r="D11360" s="5" t="s">
        <v>12</v>
      </c>
      <c r="E11360" s="5" t="s">
        <v>3536</v>
      </c>
    </row>
    <row r="11361" spans="1:5" x14ac:dyDescent="0.25">
      <c r="A11361" s="5">
        <f>11353</f>
      </c>
      <c r="B11361" s="5" t="s">
        <v>10616</v>
      </c>
      <c r="C11361" s="5" t="s">
        <v>11</v>
      </c>
      <c r="D11361" s="5" t="s">
        <v>12</v>
      </c>
      <c r="E11361" s="5" t="s">
        <v>770</v>
      </c>
    </row>
    <row r="11362" spans="1:5" x14ac:dyDescent="0.25">
      <c r="A11362" s="5">
        <f>11354</f>
      </c>
      <c r="B11362" s="5" t="s">
        <v>10617</v>
      </c>
      <c r="C11362" s="5" t="s">
        <v>11</v>
      </c>
      <c r="D11362" s="5" t="s">
        <v>12</v>
      </c>
      <c r="E11362" s="5" t="s">
        <v>10618</v>
      </c>
    </row>
    <row r="11363" spans="1:5" x14ac:dyDescent="0.25">
      <c r="A11363" s="5">
        <f>11355</f>
      </c>
      <c r="B11363" s="5" t="s">
        <v>10619</v>
      </c>
      <c r="C11363" s="5" t="s">
        <v>11</v>
      </c>
      <c r="D11363" s="5" t="s">
        <v>12</v>
      </c>
      <c r="E11363" s="5" t="s">
        <v>885</v>
      </c>
    </row>
    <row r="11364" spans="1:5" x14ac:dyDescent="0.25">
      <c r="A11364" s="5">
        <f>11356</f>
      </c>
      <c r="B11364" s="5" t="s">
        <v>10620</v>
      </c>
      <c r="C11364" s="5" t="s">
        <v>11</v>
      </c>
      <c r="D11364" s="5" t="s">
        <v>12</v>
      </c>
      <c r="E11364" s="5" t="s">
        <v>722</v>
      </c>
    </row>
    <row r="11365" spans="1:5" x14ac:dyDescent="0.25">
      <c r="A11365" s="5">
        <f>11357</f>
      </c>
      <c r="B11365" s="5" t="s">
        <v>10621</v>
      </c>
      <c r="C11365" s="5" t="s">
        <v>11</v>
      </c>
      <c r="D11365" s="5" t="s">
        <v>12</v>
      </c>
      <c r="E11365" s="5" t="s">
        <v>10622</v>
      </c>
    </row>
    <row r="11366" spans="1:5" x14ac:dyDescent="0.25">
      <c r="A11366" s="5">
        <f>11358</f>
      </c>
      <c r="B11366" s="5" t="s">
        <v>10623</v>
      </c>
      <c r="C11366" s="5" t="s">
        <v>11</v>
      </c>
      <c r="D11366" s="5" t="s">
        <v>12</v>
      </c>
      <c r="E11366" s="5" t="s">
        <v>2596</v>
      </c>
    </row>
    <row r="11367" spans="1:5" x14ac:dyDescent="0.25">
      <c r="A11367" s="5">
        <f>11359</f>
      </c>
      <c r="B11367" s="5" t="s">
        <v>10624</v>
      </c>
      <c r="C11367" s="5" t="s">
        <v>11</v>
      </c>
      <c r="D11367" s="5" t="s">
        <v>12</v>
      </c>
      <c r="E11367" s="5" t="s">
        <v>830</v>
      </c>
    </row>
    <row r="11368" spans="1:5" x14ac:dyDescent="0.25">
      <c r="A11368" s="5">
        <f>11360</f>
      </c>
      <c r="B11368" s="5" t="s">
        <v>10625</v>
      </c>
      <c r="C11368" s="5" t="s">
        <v>11</v>
      </c>
      <c r="D11368" s="5" t="s">
        <v>12</v>
      </c>
      <c r="E11368" s="5" t="s">
        <v>990</v>
      </c>
    </row>
    <row r="11369" spans="1:5" x14ac:dyDescent="0.25">
      <c r="A11369" s="5">
        <f>11361</f>
      </c>
      <c r="B11369" s="5" t="s">
        <v>10626</v>
      </c>
      <c r="C11369" s="5" t="s">
        <v>11</v>
      </c>
      <c r="D11369" s="5" t="s">
        <v>12</v>
      </c>
      <c r="E11369" s="5" t="s">
        <v>2257</v>
      </c>
    </row>
    <row r="11370" spans="1:5" x14ac:dyDescent="0.25">
      <c r="A11370" s="5">
        <f>11362</f>
      </c>
      <c r="B11370" s="5" t="s">
        <v>10627</v>
      </c>
      <c r="C11370" s="5" t="s">
        <v>11</v>
      </c>
      <c r="D11370" s="5" t="s">
        <v>12</v>
      </c>
      <c r="E11370" s="5" t="s">
        <v>10562</v>
      </c>
    </row>
    <row r="11371" spans="1:5" x14ac:dyDescent="0.25">
      <c r="A11371" s="5">
        <f>11363</f>
      </c>
      <c r="B11371" s="5" t="s">
        <v>10628</v>
      </c>
      <c r="C11371" s="5" t="s">
        <v>11</v>
      </c>
      <c r="D11371" s="5" t="s">
        <v>12</v>
      </c>
      <c r="E11371" s="5" t="s">
        <v>9578</v>
      </c>
    </row>
    <row r="11372" spans="1:5" x14ac:dyDescent="0.25">
      <c r="A11372" s="5">
        <f>11364</f>
      </c>
      <c r="B11372" s="5" t="s">
        <v>10629</v>
      </c>
      <c r="C11372" s="5" t="s">
        <v>11</v>
      </c>
      <c r="D11372" s="5" t="s">
        <v>12</v>
      </c>
      <c r="E11372" s="5" t="s">
        <v>2322</v>
      </c>
    </row>
    <row r="11373" spans="1:5" x14ac:dyDescent="0.25">
      <c r="A11373" s="5">
        <f>11365</f>
      </c>
      <c r="B11373" s="5" t="s">
        <v>10630</v>
      </c>
      <c r="C11373" s="5" t="s">
        <v>11</v>
      </c>
      <c r="D11373" s="5" t="s">
        <v>12</v>
      </c>
      <c r="E11373" s="5" t="s">
        <v>770</v>
      </c>
    </row>
    <row r="11374" spans="1:5" x14ac:dyDescent="0.25">
      <c r="A11374" s="5">
        <f>11366</f>
      </c>
      <c r="B11374" s="5" t="s">
        <v>10631</v>
      </c>
      <c r="C11374" s="5" t="s">
        <v>11</v>
      </c>
      <c r="D11374" s="5" t="s">
        <v>12</v>
      </c>
      <c r="E11374" s="5" t="s">
        <v>3610</v>
      </c>
    </row>
    <row r="11375" spans="1:5" x14ac:dyDescent="0.25">
      <c r="A11375" s="5">
        <f>11367</f>
      </c>
      <c r="B11375" s="5" t="s">
        <v>10632</v>
      </c>
      <c r="C11375" s="5" t="s">
        <v>11</v>
      </c>
      <c r="D11375" s="5" t="s">
        <v>12</v>
      </c>
      <c r="E11375" s="5" t="s">
        <v>2285</v>
      </c>
    </row>
    <row r="11376" spans="1:5" x14ac:dyDescent="0.25">
      <c r="A11376" s="5">
        <f>11368</f>
      </c>
      <c r="B11376" s="5" t="s">
        <v>10633</v>
      </c>
      <c r="C11376" s="5" t="s">
        <v>11</v>
      </c>
      <c r="D11376" s="5" t="s">
        <v>12</v>
      </c>
      <c r="E11376" s="5" t="s">
        <v>2598</v>
      </c>
    </row>
    <row r="11377" spans="1:5" x14ac:dyDescent="0.25">
      <c r="A11377" s="5">
        <f>11369</f>
      </c>
      <c r="B11377" s="5" t="s">
        <v>10634</v>
      </c>
      <c r="C11377" s="5" t="s">
        <v>11</v>
      </c>
      <c r="D11377" s="5" t="s">
        <v>12</v>
      </c>
      <c r="E11377" s="5" t="s">
        <v>2675</v>
      </c>
    </row>
    <row r="11378" spans="1:5" x14ac:dyDescent="0.25">
      <c r="A11378" s="5">
        <f>11370</f>
      </c>
      <c r="B11378" s="5" t="s">
        <v>10635</v>
      </c>
      <c r="C11378" s="5" t="s">
        <v>11</v>
      </c>
      <c r="D11378" s="5" t="s">
        <v>12</v>
      </c>
      <c r="E11378" s="5" t="s">
        <v>3569</v>
      </c>
    </row>
    <row r="11379" spans="1:5" x14ac:dyDescent="0.25">
      <c r="A11379" s="5">
        <f>11371</f>
      </c>
      <c r="B11379" s="5" t="s">
        <v>10636</v>
      </c>
      <c r="C11379" s="5" t="s">
        <v>11</v>
      </c>
      <c r="D11379" s="5" t="s">
        <v>12</v>
      </c>
      <c r="E11379" s="5" t="s">
        <v>2338</v>
      </c>
    </row>
    <row r="11380" spans="1:5" x14ac:dyDescent="0.25">
      <c r="A11380" s="5">
        <f>11372</f>
      </c>
      <c r="B11380" s="5" t="s">
        <v>10637</v>
      </c>
      <c r="C11380" s="5" t="s">
        <v>11</v>
      </c>
      <c r="D11380" s="5" t="s">
        <v>12</v>
      </c>
      <c r="E11380" s="5" t="s">
        <v>9521</v>
      </c>
    </row>
    <row r="11381" spans="1:5" x14ac:dyDescent="0.25">
      <c r="A11381" s="5">
        <f>11373</f>
      </c>
      <c r="B11381" s="5" t="s">
        <v>10638</v>
      </c>
      <c r="C11381" s="5" t="s">
        <v>11</v>
      </c>
      <c r="D11381" s="5" t="s">
        <v>12</v>
      </c>
      <c r="E11381" s="5" t="s">
        <v>734</v>
      </c>
    </row>
    <row r="11382" spans="1:5" x14ac:dyDescent="0.25">
      <c r="A11382" s="5">
        <f>11374</f>
      </c>
      <c r="B11382" s="5" t="s">
        <v>10639</v>
      </c>
      <c r="C11382" s="5" t="s">
        <v>11</v>
      </c>
      <c r="D11382" s="5" t="s">
        <v>12</v>
      </c>
      <c r="E11382" s="5" t="s">
        <v>10640</v>
      </c>
    </row>
    <row r="11383" spans="1:5" x14ac:dyDescent="0.25">
      <c r="A11383" s="5">
        <f>11375</f>
      </c>
      <c r="B11383" s="5" t="s">
        <v>10641</v>
      </c>
      <c r="C11383" s="5" t="s">
        <v>11</v>
      </c>
      <c r="D11383" s="5" t="s">
        <v>12</v>
      </c>
      <c r="E11383" s="5" t="s">
        <v>2582</v>
      </c>
    </row>
    <row r="11384" spans="1:5" x14ac:dyDescent="0.25">
      <c r="A11384" s="5">
        <f>11376</f>
      </c>
      <c r="B11384" s="5" t="s">
        <v>10642</v>
      </c>
      <c r="C11384" s="5" t="s">
        <v>11</v>
      </c>
      <c r="D11384" s="5" t="s">
        <v>12</v>
      </c>
      <c r="E11384" s="5" t="s">
        <v>972</v>
      </c>
    </row>
    <row r="11385" spans="1:5" x14ac:dyDescent="0.25">
      <c r="A11385" s="5">
        <f>11377</f>
      </c>
      <c r="B11385" s="5" t="s">
        <v>10643</v>
      </c>
      <c r="C11385" s="5" t="s">
        <v>11</v>
      </c>
      <c r="D11385" s="5" t="s">
        <v>12</v>
      </c>
      <c r="E11385" s="5" t="s">
        <v>3527</v>
      </c>
    </row>
    <row r="11386" spans="1:5" x14ac:dyDescent="0.25">
      <c r="A11386" s="5">
        <f>11378</f>
      </c>
      <c r="B11386" s="5" t="s">
        <v>10644</v>
      </c>
      <c r="C11386" s="5" t="s">
        <v>11</v>
      </c>
      <c r="D11386" s="5" t="s">
        <v>12</v>
      </c>
      <c r="E11386" s="5" t="s">
        <v>4039</v>
      </c>
    </row>
    <row r="11387" spans="1:5" x14ac:dyDescent="0.25">
      <c r="A11387" s="5">
        <f>11379</f>
      </c>
      <c r="B11387" s="5" t="s">
        <v>10645</v>
      </c>
      <c r="C11387" s="5" t="s">
        <v>11</v>
      </c>
      <c r="D11387" s="5" t="s">
        <v>12</v>
      </c>
      <c r="E11387" s="5" t="s">
        <v>4142</v>
      </c>
    </row>
    <row r="11388" spans="1:5" x14ac:dyDescent="0.25">
      <c r="A11388" s="5">
        <f>11380</f>
      </c>
      <c r="B11388" s="5" t="s">
        <v>10646</v>
      </c>
      <c r="C11388" s="5" t="s">
        <v>11</v>
      </c>
      <c r="D11388" s="5" t="s">
        <v>12</v>
      </c>
      <c r="E11388" s="5" t="s">
        <v>3754</v>
      </c>
    </row>
    <row r="11389" spans="1:5" x14ac:dyDescent="0.25">
      <c r="A11389" s="5">
        <f>11381</f>
      </c>
      <c r="B11389" s="5" t="s">
        <v>10647</v>
      </c>
      <c r="C11389" s="5" t="s">
        <v>11</v>
      </c>
      <c r="D11389" s="5" t="s">
        <v>12</v>
      </c>
      <c r="E11389" s="5" t="s">
        <v>2384</v>
      </c>
    </row>
    <row r="11390" spans="1:5" x14ac:dyDescent="0.25">
      <c r="A11390" s="5">
        <f>11382</f>
      </c>
      <c r="B11390" s="5" t="s">
        <v>10648</v>
      </c>
      <c r="C11390" s="5" t="s">
        <v>11</v>
      </c>
      <c r="D11390" s="5" t="s">
        <v>12</v>
      </c>
      <c r="E11390" s="5" t="s">
        <v>3488</v>
      </c>
    </row>
    <row r="11391" spans="1:5" x14ac:dyDescent="0.25">
      <c r="A11391" s="5">
        <f>11383</f>
      </c>
      <c r="B11391" s="5" t="s">
        <v>10649</v>
      </c>
      <c r="C11391" s="5" t="s">
        <v>11</v>
      </c>
      <c r="D11391" s="5" t="s">
        <v>12</v>
      </c>
      <c r="E11391" s="5" t="s">
        <v>2402</v>
      </c>
    </row>
    <row r="11392" spans="1:5" x14ac:dyDescent="0.25">
      <c r="A11392" s="5">
        <f>11384</f>
      </c>
      <c r="B11392" s="5" t="s">
        <v>10650</v>
      </c>
      <c r="C11392" s="5" t="s">
        <v>11</v>
      </c>
      <c r="D11392" s="5" t="s">
        <v>12</v>
      </c>
      <c r="E11392" s="5" t="s">
        <v>3506</v>
      </c>
    </row>
    <row r="11393" spans="1:5" x14ac:dyDescent="0.25">
      <c r="A11393" s="5">
        <f>11385</f>
      </c>
      <c r="B11393" s="5" t="s">
        <v>10651</v>
      </c>
      <c r="C11393" s="5" t="s">
        <v>11</v>
      </c>
      <c r="D11393" s="5" t="s">
        <v>12</v>
      </c>
      <c r="E11393" s="5" t="s">
        <v>2262</v>
      </c>
    </row>
    <row r="11394" spans="1:5" x14ac:dyDescent="0.25">
      <c r="A11394" s="5">
        <f>11386</f>
      </c>
      <c r="B11394" s="5" t="s">
        <v>10652</v>
      </c>
      <c r="C11394" s="5" t="s">
        <v>11</v>
      </c>
      <c r="D11394" s="5" t="s">
        <v>12</v>
      </c>
      <c r="E11394" s="5" t="s">
        <v>832</v>
      </c>
    </row>
    <row r="11395" spans="1:5" x14ac:dyDescent="0.25">
      <c r="A11395" s="5">
        <f>11387</f>
      </c>
      <c r="B11395" s="5" t="s">
        <v>10653</v>
      </c>
      <c r="C11395" s="5" t="s">
        <v>11</v>
      </c>
      <c r="D11395" s="5" t="s">
        <v>12</v>
      </c>
      <c r="E11395" s="5" t="s">
        <v>1030</v>
      </c>
    </row>
    <row r="11396" spans="1:5" x14ac:dyDescent="0.25">
      <c r="A11396" s="5">
        <f>11388</f>
      </c>
      <c r="B11396" s="5" t="s">
        <v>10654</v>
      </c>
      <c r="C11396" s="5" t="s">
        <v>11</v>
      </c>
      <c r="D11396" s="5" t="s">
        <v>12</v>
      </c>
      <c r="E11396" s="5" t="s">
        <v>10574</v>
      </c>
    </row>
    <row r="11397" spans="1:5" x14ac:dyDescent="0.25">
      <c r="A11397" s="5">
        <f>11389</f>
      </c>
      <c r="B11397" s="5" t="s">
        <v>10655</v>
      </c>
      <c r="C11397" s="5" t="s">
        <v>11</v>
      </c>
      <c r="D11397" s="5" t="s">
        <v>12</v>
      </c>
      <c r="E11397" s="5" t="s">
        <v>2257</v>
      </c>
    </row>
    <row r="11398" spans="1:5" x14ac:dyDescent="0.25">
      <c r="A11398" s="5">
        <f>11390</f>
      </c>
      <c r="B11398" s="5" t="s">
        <v>10656</v>
      </c>
      <c r="C11398" s="5" t="s">
        <v>11</v>
      </c>
      <c r="D11398" s="5" t="s">
        <v>12</v>
      </c>
      <c r="E11398" s="5" t="s">
        <v>3927</v>
      </c>
    </row>
    <row r="11399" spans="1:5" x14ac:dyDescent="0.25">
      <c r="A11399" s="5">
        <f>11391</f>
      </c>
      <c r="B11399" s="5" t="s">
        <v>10657</v>
      </c>
      <c r="C11399" s="5" t="s">
        <v>11</v>
      </c>
      <c r="D11399" s="5" t="s">
        <v>12</v>
      </c>
      <c r="E11399" s="5" t="s">
        <v>823</v>
      </c>
    </row>
    <row r="11400" spans="1:5" x14ac:dyDescent="0.25">
      <c r="A11400" s="5">
        <f>11392</f>
      </c>
      <c r="B11400" s="5" t="s">
        <v>10658</v>
      </c>
      <c r="C11400" s="5" t="s">
        <v>11</v>
      </c>
      <c r="D11400" s="5" t="s">
        <v>12</v>
      </c>
      <c r="E11400" s="5" t="s">
        <v>3530</v>
      </c>
    </row>
    <row r="11401" spans="1:5" x14ac:dyDescent="0.25">
      <c r="A11401" s="5">
        <f>11393</f>
      </c>
      <c r="B11401" s="5" t="s">
        <v>10659</v>
      </c>
      <c r="C11401" s="5" t="s">
        <v>11</v>
      </c>
      <c r="D11401" s="5" t="s">
        <v>12</v>
      </c>
      <c r="E11401" s="5" t="s">
        <v>10660</v>
      </c>
    </row>
    <row r="11402" spans="1:5" x14ac:dyDescent="0.25">
      <c r="A11402" s="5">
        <f>11394</f>
      </c>
      <c r="B11402" s="5" t="s">
        <v>10661</v>
      </c>
      <c r="C11402" s="5" t="s">
        <v>11</v>
      </c>
      <c r="D11402" s="5" t="s">
        <v>12</v>
      </c>
      <c r="E11402" s="5" t="s">
        <v>853</v>
      </c>
    </row>
    <row r="11403" spans="1:5" x14ac:dyDescent="0.25">
      <c r="A11403" s="5">
        <f>11395</f>
      </c>
      <c r="B11403" s="5" t="s">
        <v>10662</v>
      </c>
      <c r="C11403" s="5" t="s">
        <v>11</v>
      </c>
      <c r="D11403" s="5" t="s">
        <v>12</v>
      </c>
      <c r="E11403" s="5" t="s">
        <v>784</v>
      </c>
    </row>
    <row r="11404" spans="1:5" x14ac:dyDescent="0.25">
      <c r="A11404" s="5">
        <f>11396</f>
      </c>
      <c r="B11404" s="5" t="s">
        <v>10663</v>
      </c>
      <c r="C11404" s="5" t="s">
        <v>11</v>
      </c>
      <c r="D11404" s="5" t="s">
        <v>12</v>
      </c>
      <c r="E11404" s="5" t="s">
        <v>2384</v>
      </c>
    </row>
    <row r="11405" spans="1:5" x14ac:dyDescent="0.25">
      <c r="A11405" s="5">
        <f>11397</f>
      </c>
      <c r="B11405" s="5" t="s">
        <v>10664</v>
      </c>
      <c r="C11405" s="5" t="s">
        <v>11</v>
      </c>
      <c r="D11405" s="5" t="s">
        <v>12</v>
      </c>
      <c r="E11405" s="5" t="s">
        <v>2404</v>
      </c>
    </row>
    <row r="11406" spans="1:5" x14ac:dyDescent="0.25">
      <c r="A11406" s="5">
        <f>11398</f>
      </c>
      <c r="B11406" s="5" t="s">
        <v>10665</v>
      </c>
      <c r="C11406" s="5" t="s">
        <v>11</v>
      </c>
      <c r="D11406" s="5" t="s">
        <v>12</v>
      </c>
      <c r="E11406" s="5" t="s">
        <v>2579</v>
      </c>
    </row>
    <row r="11407" spans="1:5" x14ac:dyDescent="0.25">
      <c r="A11407" s="5">
        <f>11399</f>
      </c>
      <c r="B11407" s="5" t="s">
        <v>10666</v>
      </c>
      <c r="C11407" s="5" t="s">
        <v>11</v>
      </c>
      <c r="D11407" s="5" t="s">
        <v>12</v>
      </c>
      <c r="E11407" s="5" t="s">
        <v>2307</v>
      </c>
    </row>
    <row r="11408" spans="1:5" x14ac:dyDescent="0.25">
      <c r="A11408" s="5">
        <f>11400</f>
      </c>
      <c r="B11408" s="5" t="s">
        <v>10667</v>
      </c>
      <c r="C11408" s="5" t="s">
        <v>11</v>
      </c>
      <c r="D11408" s="5" t="s">
        <v>12</v>
      </c>
      <c r="E11408" s="5" t="s">
        <v>2300</v>
      </c>
    </row>
    <row r="11409" spans="1:5" x14ac:dyDescent="0.25">
      <c r="A11409" s="5">
        <f>11401</f>
      </c>
      <c r="B11409" s="5" t="s">
        <v>10668</v>
      </c>
      <c r="C11409" s="5" t="s">
        <v>11</v>
      </c>
      <c r="D11409" s="5" t="s">
        <v>12</v>
      </c>
      <c r="E11409" s="5" t="s">
        <v>873</v>
      </c>
    </row>
    <row r="11410" spans="1:5" x14ac:dyDescent="0.25">
      <c r="A11410" s="5">
        <f>11402</f>
      </c>
      <c r="B11410" s="5" t="s">
        <v>10669</v>
      </c>
      <c r="C11410" s="5" t="s">
        <v>11</v>
      </c>
      <c r="D11410" s="5" t="s">
        <v>12</v>
      </c>
      <c r="E11410" s="5" t="s">
        <v>2290</v>
      </c>
    </row>
    <row r="11411" spans="1:5" x14ac:dyDescent="0.25">
      <c r="A11411" s="5">
        <f>11403</f>
      </c>
      <c r="B11411" s="5" t="s">
        <v>10670</v>
      </c>
      <c r="C11411" s="5" t="s">
        <v>11</v>
      </c>
      <c r="D11411" s="5" t="s">
        <v>12</v>
      </c>
      <c r="E11411" s="5" t="s">
        <v>957</v>
      </c>
    </row>
    <row r="11412" spans="1:5" x14ac:dyDescent="0.25">
      <c r="A11412" s="5">
        <f>11404</f>
      </c>
      <c r="B11412" s="5" t="s">
        <v>10671</v>
      </c>
      <c r="C11412" s="5" t="s">
        <v>11</v>
      </c>
      <c r="D11412" s="5" t="s">
        <v>12</v>
      </c>
      <c r="E11412" s="5" t="s">
        <v>2407</v>
      </c>
    </row>
    <row r="11413" spans="1:5" x14ac:dyDescent="0.25">
      <c r="A11413" s="5">
        <f>11405</f>
      </c>
      <c r="B11413" s="5" t="s">
        <v>10672</v>
      </c>
      <c r="C11413" s="5" t="s">
        <v>11</v>
      </c>
      <c r="D11413" s="5" t="s">
        <v>12</v>
      </c>
      <c r="E11413" s="5" t="s">
        <v>730</v>
      </c>
    </row>
    <row r="11414" spans="1:5" x14ac:dyDescent="0.25">
      <c r="A11414" s="5">
        <f>11406</f>
      </c>
      <c r="B11414" s="5" t="s">
        <v>10673</v>
      </c>
      <c r="C11414" s="5" t="s">
        <v>11</v>
      </c>
      <c r="D11414" s="5" t="s">
        <v>12</v>
      </c>
      <c r="E11414" s="5" t="s">
        <v>3518</v>
      </c>
    </row>
    <row r="11415" spans="1:5" x14ac:dyDescent="0.25">
      <c r="A11415" s="5">
        <f>11407</f>
      </c>
      <c r="B11415" s="5" t="s">
        <v>10674</v>
      </c>
      <c r="C11415" s="5" t="s">
        <v>11</v>
      </c>
      <c r="D11415" s="5" t="s">
        <v>12</v>
      </c>
      <c r="E11415" s="5" t="s">
        <v>4120</v>
      </c>
    </row>
    <row r="11416" spans="1:5" x14ac:dyDescent="0.25">
      <c r="A11416" s="5">
        <f>11408</f>
      </c>
      <c r="B11416" s="5" t="s">
        <v>10675</v>
      </c>
      <c r="C11416" s="5" t="s">
        <v>11</v>
      </c>
      <c r="D11416" s="5" t="s">
        <v>12</v>
      </c>
      <c r="E11416" s="5" t="s">
        <v>959</v>
      </c>
    </row>
    <row r="11417" spans="1:5" x14ac:dyDescent="0.25">
      <c r="A11417" s="5">
        <f>11409</f>
      </c>
      <c r="B11417" s="5" t="s">
        <v>10676</v>
      </c>
      <c r="C11417" s="5" t="s">
        <v>11</v>
      </c>
      <c r="D11417" s="5" t="s">
        <v>12</v>
      </c>
      <c r="E11417" s="5" t="s">
        <v>4066</v>
      </c>
    </row>
    <row r="11418" spans="1:5" x14ac:dyDescent="0.25">
      <c r="A11418" s="5">
        <f>11410</f>
      </c>
      <c r="B11418" s="5" t="s">
        <v>10677</v>
      </c>
      <c r="C11418" s="5" t="s">
        <v>11</v>
      </c>
      <c r="D11418" s="5" t="s">
        <v>12</v>
      </c>
      <c r="E11418" s="5" t="s">
        <v>921</v>
      </c>
    </row>
    <row r="11419" spans="1:5" x14ac:dyDescent="0.25">
      <c r="A11419" s="5">
        <f>11411</f>
      </c>
      <c r="B11419" s="5" t="s">
        <v>10678</v>
      </c>
      <c r="C11419" s="5" t="s">
        <v>11</v>
      </c>
      <c r="D11419" s="5" t="s">
        <v>12</v>
      </c>
      <c r="E11419" s="5" t="s">
        <v>3604</v>
      </c>
    </row>
    <row r="11420" spans="1:5" x14ac:dyDescent="0.25">
      <c r="A11420" s="5">
        <f>11412</f>
      </c>
      <c r="B11420" s="5" t="s">
        <v>10679</v>
      </c>
      <c r="C11420" s="5" t="s">
        <v>11</v>
      </c>
      <c r="D11420" s="5" t="s">
        <v>12</v>
      </c>
      <c r="E11420" s="5" t="s">
        <v>10680</v>
      </c>
    </row>
    <row r="11421" spans="1:5" x14ac:dyDescent="0.25">
      <c r="A11421" s="5">
        <f>11413</f>
      </c>
      <c r="B11421" s="5" t="s">
        <v>10681</v>
      </c>
      <c r="C11421" s="5" t="s">
        <v>11</v>
      </c>
      <c r="D11421" s="5" t="s">
        <v>12</v>
      </c>
      <c r="E11421" s="5" t="s">
        <v>3367</v>
      </c>
    </row>
    <row r="11422" spans="1:5" x14ac:dyDescent="0.25">
      <c r="A11422" s="5">
        <f>11414</f>
      </c>
      <c r="B11422" s="5" t="s">
        <v>10682</v>
      </c>
      <c r="C11422" s="5" t="s">
        <v>11</v>
      </c>
      <c r="D11422" s="5" t="s">
        <v>12</v>
      </c>
      <c r="E11422" s="5" t="s">
        <v>10683</v>
      </c>
    </row>
    <row r="11423" spans="1:5" x14ac:dyDescent="0.25">
      <c r="A11423" s="5">
        <f>11415</f>
      </c>
      <c r="B11423" s="5" t="s">
        <v>10684</v>
      </c>
      <c r="C11423" s="5" t="s">
        <v>11</v>
      </c>
      <c r="D11423" s="5" t="s">
        <v>12</v>
      </c>
      <c r="E11423" s="5" t="s">
        <v>954</v>
      </c>
    </row>
    <row r="11424" spans="1:5" x14ac:dyDescent="0.25">
      <c r="A11424" s="5">
        <f>11416</f>
      </c>
      <c r="B11424" s="5" t="s">
        <v>10685</v>
      </c>
      <c r="C11424" s="5" t="s">
        <v>11</v>
      </c>
      <c r="D11424" s="5" t="s">
        <v>12</v>
      </c>
      <c r="E11424" s="5" t="s">
        <v>3697</v>
      </c>
    </row>
    <row r="11425" spans="1:5" x14ac:dyDescent="0.25">
      <c r="A11425" s="5">
        <f>11417</f>
      </c>
      <c r="B11425" s="5" t="s">
        <v>10686</v>
      </c>
      <c r="C11425" s="5" t="s">
        <v>11</v>
      </c>
      <c r="D11425" s="5" t="s">
        <v>12</v>
      </c>
      <c r="E11425" s="5" t="s">
        <v>2588</v>
      </c>
    </row>
    <row r="11426" spans="1:5" x14ac:dyDescent="0.25">
      <c r="A11426" s="5">
        <f>11418</f>
      </c>
      <c r="B11426" s="5" t="s">
        <v>10687</v>
      </c>
      <c r="C11426" s="5" t="s">
        <v>11</v>
      </c>
      <c r="D11426" s="5" t="s">
        <v>12</v>
      </c>
      <c r="E11426" s="5" t="s">
        <v>2586</v>
      </c>
    </row>
    <row r="11427" spans="1:5" x14ac:dyDescent="0.25">
      <c r="A11427" s="5">
        <f>11419</f>
      </c>
      <c r="B11427" s="5" t="s">
        <v>10688</v>
      </c>
      <c r="C11427" s="5" t="s">
        <v>11</v>
      </c>
      <c r="D11427" s="5" t="s">
        <v>12</v>
      </c>
      <c r="E11427" s="5" t="s">
        <v>3367</v>
      </c>
    </row>
    <row r="11428" spans="1:5" x14ac:dyDescent="0.25">
      <c r="A11428" s="5">
        <f>11420</f>
      </c>
      <c r="B11428" s="5" t="s">
        <v>10689</v>
      </c>
      <c r="C11428" s="5" t="s">
        <v>11</v>
      </c>
      <c r="D11428" s="5" t="s">
        <v>12</v>
      </c>
      <c r="E11428" s="5" t="s">
        <v>3580</v>
      </c>
    </row>
    <row r="11429" spans="1:5" x14ac:dyDescent="0.25">
      <c r="A11429" s="5">
        <f>11421</f>
      </c>
      <c r="B11429" s="5" t="s">
        <v>10690</v>
      </c>
      <c r="C11429" s="5" t="s">
        <v>11</v>
      </c>
      <c r="D11429" s="5" t="s">
        <v>12</v>
      </c>
      <c r="E11429" s="5" t="s">
        <v>3958</v>
      </c>
    </row>
    <row r="11430" spans="1:5" x14ac:dyDescent="0.25">
      <c r="A11430" s="5">
        <f>11422</f>
      </c>
      <c r="B11430" s="5" t="s">
        <v>10691</v>
      </c>
      <c r="C11430" s="5" t="s">
        <v>11</v>
      </c>
      <c r="D11430" s="5" t="s">
        <v>12</v>
      </c>
      <c r="E11430" s="5" t="s">
        <v>1060</v>
      </c>
    </row>
    <row r="11431" spans="1:5" x14ac:dyDescent="0.25">
      <c r="A11431" s="5">
        <f>11423</f>
      </c>
      <c r="B11431" s="5" t="s">
        <v>10692</v>
      </c>
      <c r="C11431" s="5" t="s">
        <v>11</v>
      </c>
      <c r="D11431" s="5" t="s">
        <v>12</v>
      </c>
      <c r="E11431" s="5" t="s">
        <v>1077</v>
      </c>
    </row>
    <row r="11432" spans="1:5" x14ac:dyDescent="0.25">
      <c r="A11432" s="5">
        <f>11424</f>
      </c>
      <c r="B11432" s="5" t="s">
        <v>10693</v>
      </c>
      <c r="C11432" s="5" t="s">
        <v>11</v>
      </c>
      <c r="D11432" s="5" t="s">
        <v>12</v>
      </c>
      <c r="E11432" s="5" t="s">
        <v>3430</v>
      </c>
    </row>
    <row r="11433" spans="1:5" x14ac:dyDescent="0.25">
      <c r="A11433" s="5">
        <f>11425</f>
      </c>
      <c r="B11433" s="5" t="s">
        <v>10694</v>
      </c>
      <c r="C11433" s="5" t="s">
        <v>11</v>
      </c>
      <c r="D11433" s="5" t="s">
        <v>12</v>
      </c>
      <c r="E11433" s="5" t="s">
        <v>2614</v>
      </c>
    </row>
    <row r="11434" spans="1:5" x14ac:dyDescent="0.25">
      <c r="A11434" s="5">
        <f>11426</f>
      </c>
      <c r="B11434" s="5" t="s">
        <v>10695</v>
      </c>
      <c r="C11434" s="5" t="s">
        <v>11</v>
      </c>
      <c r="D11434" s="5" t="s">
        <v>12</v>
      </c>
      <c r="E11434" s="5" t="s">
        <v>2402</v>
      </c>
    </row>
    <row r="11435" spans="1:5" x14ac:dyDescent="0.25">
      <c r="A11435" s="5">
        <f>11427</f>
      </c>
      <c r="B11435" s="5" t="s">
        <v>10696</v>
      </c>
      <c r="C11435" s="5" t="s">
        <v>11</v>
      </c>
      <c r="D11435" s="5" t="s">
        <v>12</v>
      </c>
      <c r="E11435" s="5" t="s">
        <v>4051</v>
      </c>
    </row>
    <row r="11436" spans="1:5" x14ac:dyDescent="0.25">
      <c r="A11436" s="5">
        <f>11428</f>
      </c>
      <c r="B11436" s="5" t="s">
        <v>10697</v>
      </c>
      <c r="C11436" s="5" t="s">
        <v>11</v>
      </c>
      <c r="D11436" s="5" t="s">
        <v>12</v>
      </c>
      <c r="E11436" s="5" t="s">
        <v>781</v>
      </c>
    </row>
    <row r="11437" spans="1:5" x14ac:dyDescent="0.25">
      <c r="A11437" s="5">
        <f>11429</f>
      </c>
      <c r="B11437" s="5" t="s">
        <v>10698</v>
      </c>
      <c r="C11437" s="5" t="s">
        <v>11</v>
      </c>
      <c r="D11437" s="5" t="s">
        <v>12</v>
      </c>
      <c r="E11437" s="5" t="s">
        <v>3583</v>
      </c>
    </row>
    <row r="11438" spans="1:5" x14ac:dyDescent="0.25">
      <c r="A11438" s="5">
        <f>11430</f>
      </c>
      <c r="B11438" s="5" t="s">
        <v>10699</v>
      </c>
      <c r="C11438" s="5" t="s">
        <v>11</v>
      </c>
      <c r="D11438" s="5" t="s">
        <v>12</v>
      </c>
      <c r="E11438" s="5" t="s">
        <v>959</v>
      </c>
    </row>
    <row r="11439" spans="1:5" x14ac:dyDescent="0.25">
      <c r="A11439" s="5">
        <f>11431</f>
      </c>
      <c r="B11439" s="5" t="s">
        <v>10700</v>
      </c>
      <c r="C11439" s="5" t="s">
        <v>11</v>
      </c>
      <c r="D11439" s="5" t="s">
        <v>12</v>
      </c>
      <c r="E11439" s="5" t="s">
        <v>728</v>
      </c>
    </row>
    <row r="11440" spans="1:5" x14ac:dyDescent="0.25">
      <c r="A11440" s="5">
        <f>11432</f>
      </c>
      <c r="B11440" s="5" t="s">
        <v>10701</v>
      </c>
      <c r="C11440" s="5" t="s">
        <v>11</v>
      </c>
      <c r="D11440" s="5" t="s">
        <v>12</v>
      </c>
      <c r="E11440" s="5" t="s">
        <v>2300</v>
      </c>
    </row>
    <row r="11441" spans="1:5" x14ac:dyDescent="0.25">
      <c r="A11441" s="5">
        <f>11433</f>
      </c>
      <c r="B11441" s="5" t="s">
        <v>10702</v>
      </c>
      <c r="C11441" s="5" t="s">
        <v>11</v>
      </c>
      <c r="D11441" s="5" t="s">
        <v>12</v>
      </c>
      <c r="E11441" s="5" t="s">
        <v>2394</v>
      </c>
    </row>
    <row r="11442" spans="1:5" x14ac:dyDescent="0.25">
      <c r="A11442" s="5">
        <f>11434</f>
      </c>
      <c r="B11442" s="5" t="s">
        <v>10703</v>
      </c>
      <c r="C11442" s="5" t="s">
        <v>11</v>
      </c>
      <c r="D11442" s="5" t="s">
        <v>12</v>
      </c>
      <c r="E11442" s="5" t="s">
        <v>932</v>
      </c>
    </row>
    <row r="11443" spans="1:5" x14ac:dyDescent="0.25">
      <c r="A11443" s="5">
        <f>11435</f>
      </c>
      <c r="B11443" s="5" t="s">
        <v>10704</v>
      </c>
      <c r="C11443" s="5" t="s">
        <v>11</v>
      </c>
      <c r="D11443" s="5" t="s">
        <v>12</v>
      </c>
      <c r="E11443" s="5" t="s">
        <v>10705</v>
      </c>
    </row>
    <row r="11444" spans="1:5" x14ac:dyDescent="0.25">
      <c r="A11444" s="5">
        <f>11436</f>
      </c>
      <c r="B11444" s="5" t="s">
        <v>10706</v>
      </c>
      <c r="C11444" s="5" t="s">
        <v>11</v>
      </c>
      <c r="D11444" s="5" t="s">
        <v>12</v>
      </c>
      <c r="E11444" s="5" t="s">
        <v>728</v>
      </c>
    </row>
    <row r="11445" spans="1:5" x14ac:dyDescent="0.25">
      <c r="A11445" s="5">
        <f>11437</f>
      </c>
      <c r="B11445" s="5" t="s">
        <v>10707</v>
      </c>
      <c r="C11445" s="5" t="s">
        <v>11</v>
      </c>
      <c r="D11445" s="5" t="s">
        <v>12</v>
      </c>
      <c r="E11445" s="5" t="s">
        <v>826</v>
      </c>
    </row>
    <row r="11446" spans="1:5" x14ac:dyDescent="0.25">
      <c r="A11446" s="5">
        <f>11438</f>
      </c>
      <c r="B11446" s="5" t="s">
        <v>10708</v>
      </c>
      <c r="C11446" s="5" t="s">
        <v>11</v>
      </c>
      <c r="D11446" s="5" t="s">
        <v>12</v>
      </c>
      <c r="E11446" s="5" t="s">
        <v>3506</v>
      </c>
    </row>
    <row r="11447" spans="1:5" x14ac:dyDescent="0.25">
      <c r="A11447" s="5">
        <f>11439</f>
      </c>
      <c r="B11447" s="5" t="s">
        <v>10709</v>
      </c>
      <c r="C11447" s="5" t="s">
        <v>11</v>
      </c>
      <c r="D11447" s="5" t="s">
        <v>12</v>
      </c>
      <c r="E11447" s="5" t="s">
        <v>2823</v>
      </c>
    </row>
    <row r="11448" spans="1:5" x14ac:dyDescent="0.25">
      <c r="A11448" s="5">
        <f>11440</f>
      </c>
      <c r="B11448" s="5" t="s">
        <v>10710</v>
      </c>
      <c r="C11448" s="5" t="s">
        <v>11</v>
      </c>
      <c r="D11448" s="5" t="s">
        <v>12</v>
      </c>
      <c r="E11448" s="5" t="s">
        <v>4164</v>
      </c>
    </row>
    <row r="11449" spans="1:5" x14ac:dyDescent="0.25">
      <c r="A11449" s="5">
        <f>11441</f>
      </c>
      <c r="B11449" s="5" t="s">
        <v>10711</v>
      </c>
      <c r="C11449" s="5" t="s">
        <v>11</v>
      </c>
      <c r="D11449" s="5" t="s">
        <v>12</v>
      </c>
      <c r="E11449" s="5" t="s">
        <v>4151</v>
      </c>
    </row>
    <row r="11450" spans="1:5" x14ac:dyDescent="0.25">
      <c r="A11450" s="5">
        <f>11442</f>
      </c>
      <c r="B11450" s="5" t="s">
        <v>10712</v>
      </c>
      <c r="C11450" s="5" t="s">
        <v>11</v>
      </c>
      <c r="D11450" s="5" t="s">
        <v>12</v>
      </c>
      <c r="E11450" s="5" t="s">
        <v>3875</v>
      </c>
    </row>
    <row r="11451" spans="1:5" x14ac:dyDescent="0.25">
      <c r="A11451" s="5">
        <f>11443</f>
      </c>
      <c r="B11451" s="5" t="s">
        <v>10713</v>
      </c>
      <c r="C11451" s="5" t="s">
        <v>11</v>
      </c>
      <c r="D11451" s="5" t="s">
        <v>12</v>
      </c>
      <c r="E11451" s="5" t="s">
        <v>969</v>
      </c>
    </row>
    <row r="11452" spans="1:5" x14ac:dyDescent="0.25">
      <c r="A11452" s="5">
        <f>11444</f>
      </c>
      <c r="B11452" s="5" t="s">
        <v>10714</v>
      </c>
      <c r="C11452" s="5" t="s">
        <v>11</v>
      </c>
      <c r="D11452" s="5" t="s">
        <v>12</v>
      </c>
      <c r="E11452" s="5" t="s">
        <v>875</v>
      </c>
    </row>
    <row r="11453" spans="1:5" x14ac:dyDescent="0.25">
      <c r="A11453" s="5">
        <f>11445</f>
      </c>
      <c r="B11453" s="5" t="s">
        <v>10715</v>
      </c>
      <c r="C11453" s="5" t="s">
        <v>11</v>
      </c>
      <c r="D11453" s="5" t="s">
        <v>12</v>
      </c>
      <c r="E11453" s="5" t="s">
        <v>10680</v>
      </c>
    </row>
    <row r="11454" spans="1:5" x14ac:dyDescent="0.25">
      <c r="A11454" s="5">
        <f>11446</f>
      </c>
      <c r="B11454" s="5" t="s">
        <v>10716</v>
      </c>
      <c r="C11454" s="5" t="s">
        <v>11</v>
      </c>
      <c r="D11454" s="5" t="s">
        <v>12</v>
      </c>
      <c r="E11454" s="5" t="s">
        <v>784</v>
      </c>
    </row>
    <row r="11455" spans="1:5" x14ac:dyDescent="0.25">
      <c r="A11455" s="5">
        <f>11447</f>
      </c>
      <c r="B11455" s="5" t="s">
        <v>10717</v>
      </c>
      <c r="C11455" s="5" t="s">
        <v>11</v>
      </c>
      <c r="D11455" s="5" t="s">
        <v>12</v>
      </c>
      <c r="E11455" s="5" t="s">
        <v>3664</v>
      </c>
    </row>
    <row r="11456" spans="1:5" x14ac:dyDescent="0.25">
      <c r="A11456" s="5">
        <f>11448</f>
      </c>
      <c r="B11456" s="5" t="s">
        <v>10718</v>
      </c>
      <c r="C11456" s="5" t="s">
        <v>11</v>
      </c>
      <c r="D11456" s="5" t="s">
        <v>12</v>
      </c>
      <c r="E11456" s="5" t="s">
        <v>885</v>
      </c>
    </row>
    <row r="11457" spans="1:5" x14ac:dyDescent="0.25">
      <c r="A11457" s="5">
        <f>11449</f>
      </c>
      <c r="B11457" s="5" t="s">
        <v>10719</v>
      </c>
      <c r="C11457" s="5" t="s">
        <v>11</v>
      </c>
      <c r="D11457" s="5" t="s">
        <v>12</v>
      </c>
      <c r="E11457" s="5" t="s">
        <v>3601</v>
      </c>
    </row>
    <row r="11458" spans="1:5" x14ac:dyDescent="0.25">
      <c r="A11458" s="5">
        <f>11450</f>
      </c>
      <c r="B11458" s="5" t="s">
        <v>10720</v>
      </c>
      <c r="C11458" s="5" t="s">
        <v>11</v>
      </c>
      <c r="D11458" s="5" t="s">
        <v>12</v>
      </c>
      <c r="E11458" s="5" t="s">
        <v>720</v>
      </c>
    </row>
    <row r="11459" spans="1:5" x14ac:dyDescent="0.25">
      <c r="A11459" s="5">
        <f>11451</f>
      </c>
      <c r="B11459" s="5" t="s">
        <v>10721</v>
      </c>
      <c r="C11459" s="5" t="s">
        <v>11</v>
      </c>
      <c r="D11459" s="5" t="s">
        <v>12</v>
      </c>
      <c r="E11459" s="5" t="s">
        <v>2639</v>
      </c>
    </row>
    <row r="11460" spans="1:5" x14ac:dyDescent="0.25">
      <c r="A11460" s="5">
        <f>11452</f>
      </c>
      <c r="B11460" s="5" t="s">
        <v>10722</v>
      </c>
      <c r="C11460" s="5" t="s">
        <v>11</v>
      </c>
      <c r="D11460" s="5" t="s">
        <v>12</v>
      </c>
      <c r="E11460" s="5" t="s">
        <v>3524</v>
      </c>
    </row>
    <row r="11461" spans="1:5" x14ac:dyDescent="0.25">
      <c r="A11461" s="5">
        <f>11453</f>
      </c>
      <c r="B11461" s="5" t="s">
        <v>10723</v>
      </c>
      <c r="C11461" s="5" t="s">
        <v>11</v>
      </c>
      <c r="D11461" s="5" t="s">
        <v>12</v>
      </c>
      <c r="E11461" s="5" t="s">
        <v>882</v>
      </c>
    </row>
    <row r="11462" spans="1:5" x14ac:dyDescent="0.25">
      <c r="A11462" s="5">
        <f>11454</f>
      </c>
      <c r="B11462" s="5" t="s">
        <v>10724</v>
      </c>
      <c r="C11462" s="5" t="s">
        <v>11</v>
      </c>
      <c r="D11462" s="5" t="s">
        <v>12</v>
      </c>
      <c r="E11462" s="5" t="s">
        <v>10562</v>
      </c>
    </row>
    <row r="11463" spans="1:5" x14ac:dyDescent="0.25">
      <c r="A11463" s="5">
        <f>11455</f>
      </c>
      <c r="B11463" s="5" t="s">
        <v>10725</v>
      </c>
      <c r="C11463" s="5" t="s">
        <v>11</v>
      </c>
      <c r="D11463" s="5" t="s">
        <v>12</v>
      </c>
      <c r="E11463" s="5" t="s">
        <v>762</v>
      </c>
    </row>
    <row r="11464" spans="1:5" x14ac:dyDescent="0.25">
      <c r="A11464" s="5">
        <f>11456</f>
      </c>
      <c r="B11464" s="5" t="s">
        <v>10726</v>
      </c>
      <c r="C11464" s="5" t="s">
        <v>11</v>
      </c>
      <c r="D11464" s="5" t="s">
        <v>12</v>
      </c>
      <c r="E11464" s="5" t="s">
        <v>2331</v>
      </c>
    </row>
    <row r="11465" spans="1:5" x14ac:dyDescent="0.25">
      <c r="A11465" s="5">
        <f>11457</f>
      </c>
      <c r="B11465" s="5" t="s">
        <v>10727</v>
      </c>
      <c r="C11465" s="5" t="s">
        <v>11</v>
      </c>
      <c r="D11465" s="5" t="s">
        <v>12</v>
      </c>
      <c r="E11465" s="5" t="s">
        <v>2262</v>
      </c>
    </row>
    <row r="11466" spans="1:5" x14ac:dyDescent="0.25">
      <c r="A11466" s="5">
        <f>11458</f>
      </c>
      <c r="B11466" s="5" t="s">
        <v>10728</v>
      </c>
      <c r="C11466" s="5" t="s">
        <v>11</v>
      </c>
      <c r="D11466" s="5" t="s">
        <v>12</v>
      </c>
      <c r="E11466" s="5" t="s">
        <v>728</v>
      </c>
    </row>
    <row r="11467" spans="1:5" x14ac:dyDescent="0.25">
      <c r="A11467" s="5">
        <f>11459</f>
      </c>
      <c r="B11467" s="5" t="s">
        <v>10729</v>
      </c>
      <c r="C11467" s="5" t="s">
        <v>11</v>
      </c>
      <c r="D11467" s="5" t="s">
        <v>12</v>
      </c>
      <c r="E11467" s="5" t="s">
        <v>885</v>
      </c>
    </row>
    <row r="11468" spans="1:5" x14ac:dyDescent="0.25">
      <c r="A11468" s="5">
        <f>11460</f>
      </c>
      <c r="B11468" s="5" t="s">
        <v>10730</v>
      </c>
      <c r="C11468" s="5" t="s">
        <v>11</v>
      </c>
      <c r="D11468" s="5" t="s">
        <v>12</v>
      </c>
      <c r="E11468" s="5" t="s">
        <v>2829</v>
      </c>
    </row>
    <row r="11469" spans="1:5" x14ac:dyDescent="0.25">
      <c r="A11469" s="5">
        <f>11461</f>
      </c>
      <c r="B11469" s="5" t="s">
        <v>10731</v>
      </c>
      <c r="C11469" s="5" t="s">
        <v>11</v>
      </c>
      <c r="D11469" s="5" t="s">
        <v>12</v>
      </c>
      <c r="E11469" s="5" t="s">
        <v>2624</v>
      </c>
    </row>
    <row r="11470" spans="1:5" x14ac:dyDescent="0.25">
      <c r="A11470" s="5">
        <f>11462</f>
      </c>
      <c r="B11470" s="5" t="s">
        <v>10732</v>
      </c>
      <c r="C11470" s="5" t="s">
        <v>11</v>
      </c>
      <c r="D11470" s="5" t="s">
        <v>12</v>
      </c>
      <c r="E11470" s="5" t="s">
        <v>2335</v>
      </c>
    </row>
    <row r="11471" spans="1:5" x14ac:dyDescent="0.25">
      <c r="A11471" s="5">
        <f>11463</f>
      </c>
      <c r="B11471" s="5" t="s">
        <v>10733</v>
      </c>
      <c r="C11471" s="5" t="s">
        <v>11</v>
      </c>
      <c r="D11471" s="5" t="s">
        <v>12</v>
      </c>
      <c r="E11471" s="5" t="s">
        <v>4151</v>
      </c>
    </row>
    <row r="11472" spans="1:5" x14ac:dyDescent="0.25">
      <c r="A11472" s="5">
        <f>11464</f>
      </c>
      <c r="B11472" s="5" t="s">
        <v>10734</v>
      </c>
      <c r="C11472" s="5" t="s">
        <v>11</v>
      </c>
      <c r="D11472" s="5" t="s">
        <v>12</v>
      </c>
      <c r="E11472" s="5" t="s">
        <v>10479</v>
      </c>
    </row>
    <row r="11473" spans="1:5" x14ac:dyDescent="0.25">
      <c r="A11473" s="5">
        <f>11465</f>
      </c>
      <c r="B11473" s="5" t="s">
        <v>10735</v>
      </c>
      <c r="C11473" s="5" t="s">
        <v>11</v>
      </c>
      <c r="D11473" s="5" t="s">
        <v>12</v>
      </c>
      <c r="E11473" s="5" t="s">
        <v>2262</v>
      </c>
    </row>
    <row r="11474" spans="1:5" x14ac:dyDescent="0.25">
      <c r="A11474" s="5">
        <f>11466</f>
      </c>
      <c r="B11474" s="5" t="s">
        <v>10736</v>
      </c>
      <c r="C11474" s="5" t="s">
        <v>11</v>
      </c>
      <c r="D11474" s="5" t="s">
        <v>12</v>
      </c>
      <c r="E11474" s="5" t="s">
        <v>3771</v>
      </c>
    </row>
    <row r="11475" spans="1:5" x14ac:dyDescent="0.25">
      <c r="A11475" s="5">
        <f>11467</f>
      </c>
      <c r="B11475" s="5" t="s">
        <v>10737</v>
      </c>
      <c r="C11475" s="5" t="s">
        <v>11</v>
      </c>
      <c r="D11475" s="5" t="s">
        <v>12</v>
      </c>
      <c r="E11475" s="5" t="s">
        <v>3533</v>
      </c>
    </row>
    <row r="11476" spans="1:5" x14ac:dyDescent="0.25">
      <c r="A11476" s="5">
        <f>11468</f>
      </c>
      <c r="B11476" s="5" t="s">
        <v>10738</v>
      </c>
      <c r="C11476" s="5" t="s">
        <v>11</v>
      </c>
      <c r="D11476" s="5" t="s">
        <v>12</v>
      </c>
      <c r="E11476" s="5" t="s">
        <v>10739</v>
      </c>
    </row>
    <row r="11477" spans="1:5" x14ac:dyDescent="0.25">
      <c r="A11477" s="5">
        <f>11469</f>
      </c>
      <c r="B11477" s="5" t="s">
        <v>10740</v>
      </c>
      <c r="C11477" s="5" t="s">
        <v>11</v>
      </c>
      <c r="D11477" s="5" t="s">
        <v>12</v>
      </c>
      <c r="E11477" s="5" t="s">
        <v>3488</v>
      </c>
    </row>
    <row r="11478" spans="1:5" x14ac:dyDescent="0.25">
      <c r="A11478" s="5">
        <f>11470</f>
      </c>
      <c r="B11478" s="5" t="s">
        <v>10741</v>
      </c>
      <c r="C11478" s="5" t="s">
        <v>11</v>
      </c>
      <c r="D11478" s="5" t="s">
        <v>12</v>
      </c>
      <c r="E11478" s="5" t="s">
        <v>1034</v>
      </c>
    </row>
    <row r="11479" spans="1:5" x14ac:dyDescent="0.25">
      <c r="A11479" s="5">
        <f>11471</f>
      </c>
      <c r="B11479" s="5" t="s">
        <v>10742</v>
      </c>
      <c r="C11479" s="5" t="s">
        <v>11</v>
      </c>
      <c r="D11479" s="5" t="s">
        <v>12</v>
      </c>
      <c r="E11479" s="5" t="s">
        <v>3628</v>
      </c>
    </row>
    <row r="11480" spans="1:5" x14ac:dyDescent="0.25">
      <c r="A11480" s="5">
        <f>11472</f>
      </c>
      <c r="B11480" s="5" t="s">
        <v>10743</v>
      </c>
      <c r="C11480" s="5" t="s">
        <v>11</v>
      </c>
      <c r="D11480" s="5" t="s">
        <v>12</v>
      </c>
      <c r="E11480" s="5" t="s">
        <v>840</v>
      </c>
    </row>
    <row r="11481" spans="1:5" x14ac:dyDescent="0.25">
      <c r="A11481" s="5">
        <f>11473</f>
      </c>
      <c r="B11481" s="5" t="s">
        <v>10744</v>
      </c>
      <c r="C11481" s="5" t="s">
        <v>11</v>
      </c>
      <c r="D11481" s="5" t="s">
        <v>12</v>
      </c>
      <c r="E11481" s="5" t="s">
        <v>2343</v>
      </c>
    </row>
    <row r="11482" spans="1:5" x14ac:dyDescent="0.25">
      <c r="A11482" s="5">
        <f>11474</f>
      </c>
      <c r="B11482" s="5" t="s">
        <v>10745</v>
      </c>
      <c r="C11482" s="5" t="s">
        <v>11</v>
      </c>
      <c r="D11482" s="5" t="s">
        <v>12</v>
      </c>
      <c r="E11482" s="5" t="s">
        <v>2318</v>
      </c>
    </row>
    <row r="11483" spans="1:5" x14ac:dyDescent="0.25">
      <c r="A11483" s="5">
        <f>11475</f>
      </c>
      <c r="B11483" s="5" t="s">
        <v>10746</v>
      </c>
      <c r="C11483" s="5" t="s">
        <v>11</v>
      </c>
      <c r="D11483" s="5" t="s">
        <v>12</v>
      </c>
      <c r="E11483" s="5" t="s">
        <v>3723</v>
      </c>
    </row>
    <row r="11484" spans="1:5" x14ac:dyDescent="0.25">
      <c r="A11484" s="5">
        <f>11476</f>
      </c>
      <c r="B11484" s="5" t="s">
        <v>10747</v>
      </c>
      <c r="C11484" s="5" t="s">
        <v>11</v>
      </c>
      <c r="D11484" s="5" t="s">
        <v>12</v>
      </c>
      <c r="E11484" s="5" t="s">
        <v>2616</v>
      </c>
    </row>
    <row r="11485" spans="1:5" x14ac:dyDescent="0.25">
      <c r="A11485" s="5">
        <f>11477</f>
      </c>
      <c r="B11485" s="5" t="s">
        <v>10748</v>
      </c>
      <c r="C11485" s="5" t="s">
        <v>11</v>
      </c>
      <c r="D11485" s="5" t="s">
        <v>12</v>
      </c>
      <c r="E11485" s="5" t="s">
        <v>730</v>
      </c>
    </row>
    <row r="11486" spans="1:5" x14ac:dyDescent="0.25">
      <c r="A11486" s="5">
        <f>11478</f>
      </c>
      <c r="B11486" s="5" t="s">
        <v>10749</v>
      </c>
      <c r="C11486" s="5" t="s">
        <v>11</v>
      </c>
      <c r="D11486" s="5" t="s">
        <v>12</v>
      </c>
      <c r="E11486" s="5" t="s">
        <v>3680</v>
      </c>
    </row>
    <row r="11487" spans="1:5" x14ac:dyDescent="0.25">
      <c r="A11487" s="5">
        <f>11479</f>
      </c>
      <c r="B11487" s="5" t="s">
        <v>10750</v>
      </c>
      <c r="C11487" s="5" t="s">
        <v>11</v>
      </c>
      <c r="D11487" s="5" t="s">
        <v>12</v>
      </c>
      <c r="E11487" s="5" t="s">
        <v>2412</v>
      </c>
    </row>
    <row r="11488" spans="1:5" x14ac:dyDescent="0.25">
      <c r="A11488" s="5">
        <f>11480</f>
      </c>
      <c r="B11488" s="5" t="s">
        <v>10751</v>
      </c>
      <c r="C11488" s="5" t="s">
        <v>11</v>
      </c>
      <c r="D11488" s="5" t="s">
        <v>12</v>
      </c>
      <c r="E11488" s="5" t="s">
        <v>885</v>
      </c>
    </row>
    <row r="11489" spans="1:5" x14ac:dyDescent="0.25">
      <c r="A11489" s="5">
        <f>11481</f>
      </c>
      <c r="B11489" s="5" t="s">
        <v>10752</v>
      </c>
      <c r="C11489" s="5" t="s">
        <v>11</v>
      </c>
      <c r="D11489" s="5" t="s">
        <v>12</v>
      </c>
      <c r="E11489" s="5" t="s">
        <v>2665</v>
      </c>
    </row>
    <row r="11490" spans="1:5" x14ac:dyDescent="0.25">
      <c r="A11490" s="5">
        <f>11482</f>
      </c>
      <c r="B11490" s="5" t="s">
        <v>10753</v>
      </c>
      <c r="C11490" s="5" t="s">
        <v>11</v>
      </c>
      <c r="D11490" s="5" t="s">
        <v>12</v>
      </c>
      <c r="E11490" s="5" t="s">
        <v>2255</v>
      </c>
    </row>
    <row r="11491" spans="1:5" x14ac:dyDescent="0.25">
      <c r="A11491" s="5">
        <f>11483</f>
      </c>
      <c r="B11491" s="5" t="s">
        <v>10754</v>
      </c>
      <c r="C11491" s="5" t="s">
        <v>11</v>
      </c>
      <c r="D11491" s="5" t="s">
        <v>12</v>
      </c>
      <c r="E11491" s="5" t="s">
        <v>2616</v>
      </c>
    </row>
    <row r="11492" spans="1:5" x14ac:dyDescent="0.25">
      <c r="A11492" s="5">
        <f>11484</f>
      </c>
      <c r="B11492" s="5" t="s">
        <v>10755</v>
      </c>
      <c r="C11492" s="5" t="s">
        <v>11</v>
      </c>
      <c r="D11492" s="5" t="s">
        <v>12</v>
      </c>
      <c r="E11492" s="5" t="s">
        <v>10756</v>
      </c>
    </row>
    <row r="11493" spans="1:5" x14ac:dyDescent="0.25">
      <c r="A11493" s="5">
        <f>11485</f>
      </c>
      <c r="B11493" s="5" t="s">
        <v>10757</v>
      </c>
      <c r="C11493" s="5" t="s">
        <v>11</v>
      </c>
      <c r="D11493" s="5" t="s">
        <v>12</v>
      </c>
      <c r="E11493" s="5" t="s">
        <v>2384</v>
      </c>
    </row>
    <row r="11494" spans="1:5" x14ac:dyDescent="0.25">
      <c r="A11494" s="5">
        <f>11486</f>
      </c>
      <c r="B11494" s="5" t="s">
        <v>10758</v>
      </c>
      <c r="C11494" s="5" t="s">
        <v>11</v>
      </c>
      <c r="D11494" s="5" t="s">
        <v>12</v>
      </c>
      <c r="E11494" s="5" t="s">
        <v>2598</v>
      </c>
    </row>
    <row r="11495" spans="1:5" x14ac:dyDescent="0.25">
      <c r="A11495" s="5">
        <f>11487</f>
      </c>
      <c r="B11495" s="5" t="s">
        <v>10759</v>
      </c>
      <c r="C11495" s="5" t="s">
        <v>11</v>
      </c>
      <c r="D11495" s="5" t="s">
        <v>12</v>
      </c>
      <c r="E11495" s="5" t="s">
        <v>1053</v>
      </c>
    </row>
    <row r="11496" spans="1:5" x14ac:dyDescent="0.25">
      <c r="A11496" s="5">
        <f>11488</f>
      </c>
      <c r="B11496" s="5" t="s">
        <v>10760</v>
      </c>
      <c r="C11496" s="5" t="s">
        <v>11</v>
      </c>
      <c r="D11496" s="5" t="s">
        <v>12</v>
      </c>
      <c r="E11496" s="5" t="s">
        <v>2873</v>
      </c>
    </row>
    <row r="11497" spans="1:5" x14ac:dyDescent="0.25">
      <c r="A11497" s="5">
        <f>11489</f>
      </c>
      <c r="B11497" s="5" t="s">
        <v>10761</v>
      </c>
      <c r="C11497" s="5" t="s">
        <v>11</v>
      </c>
      <c r="D11497" s="5" t="s">
        <v>12</v>
      </c>
      <c r="E11497" s="5" t="s">
        <v>2881</v>
      </c>
    </row>
    <row r="11498" spans="1:5" x14ac:dyDescent="0.25">
      <c r="A11498" s="5">
        <f>11490</f>
      </c>
      <c r="B11498" s="5" t="s">
        <v>10762</v>
      </c>
      <c r="C11498" s="5" t="s">
        <v>11</v>
      </c>
      <c r="D11498" s="5" t="s">
        <v>12</v>
      </c>
      <c r="E11498" s="5" t="s">
        <v>2754</v>
      </c>
    </row>
    <row r="11499" spans="1:5" x14ac:dyDescent="0.25">
      <c r="A11499" s="5">
        <f>11491</f>
      </c>
      <c r="B11499" s="5" t="s">
        <v>10763</v>
      </c>
      <c r="C11499" s="5" t="s">
        <v>11</v>
      </c>
      <c r="D11499" s="5" t="s">
        <v>12</v>
      </c>
      <c r="E11499" s="5" t="s">
        <v>784</v>
      </c>
    </row>
    <row r="11500" spans="1:5" x14ac:dyDescent="0.25">
      <c r="A11500" s="5">
        <f>11492</f>
      </c>
      <c r="B11500" s="5" t="s">
        <v>10764</v>
      </c>
      <c r="C11500" s="5" t="s">
        <v>11</v>
      </c>
      <c r="D11500" s="5" t="s">
        <v>12</v>
      </c>
      <c r="E11500" s="5" t="s">
        <v>2671</v>
      </c>
    </row>
    <row r="11501" spans="1:5" x14ac:dyDescent="0.25">
      <c r="A11501" s="5">
        <f>11493</f>
      </c>
      <c r="B11501" s="5" t="s">
        <v>10765</v>
      </c>
      <c r="C11501" s="5" t="s">
        <v>11</v>
      </c>
      <c r="D11501" s="5" t="s">
        <v>12</v>
      </c>
      <c r="E11501" s="5" t="s">
        <v>2343</v>
      </c>
    </row>
    <row r="11502" spans="1:5" x14ac:dyDescent="0.25">
      <c r="A11502" s="5">
        <f>11494</f>
      </c>
      <c r="B11502" s="5" t="s">
        <v>10766</v>
      </c>
      <c r="C11502" s="5" t="s">
        <v>11</v>
      </c>
      <c r="D11502" s="5" t="s">
        <v>12</v>
      </c>
      <c r="E11502" s="5" t="s">
        <v>993</v>
      </c>
    </row>
    <row r="11503" spans="1:5" x14ac:dyDescent="0.25">
      <c r="A11503" s="5">
        <f>11495</f>
      </c>
      <c r="B11503" s="5" t="s">
        <v>10767</v>
      </c>
      <c r="C11503" s="5" t="s">
        <v>11</v>
      </c>
      <c r="D11503" s="5" t="s">
        <v>12</v>
      </c>
      <c r="E11503" s="5" t="s">
        <v>3488</v>
      </c>
    </row>
    <row r="11504" spans="1:5" x14ac:dyDescent="0.25">
      <c r="A11504" s="5">
        <f>11496</f>
      </c>
      <c r="B11504" s="5" t="s">
        <v>10768</v>
      </c>
      <c r="C11504" s="5" t="s">
        <v>11</v>
      </c>
      <c r="D11504" s="5" t="s">
        <v>12</v>
      </c>
      <c r="E11504" s="5" t="s">
        <v>3561</v>
      </c>
    </row>
    <row r="11505" spans="1:5" x14ac:dyDescent="0.25">
      <c r="A11505" s="5">
        <f>11497</f>
      </c>
      <c r="B11505" s="5" t="s">
        <v>10769</v>
      </c>
      <c r="C11505" s="5" t="s">
        <v>11</v>
      </c>
      <c r="D11505" s="5" t="s">
        <v>12</v>
      </c>
      <c r="E11505" s="5" t="s">
        <v>1051</v>
      </c>
    </row>
    <row r="11506" spans="1:5" x14ac:dyDescent="0.25">
      <c r="A11506" s="5">
        <f>11498</f>
      </c>
      <c r="B11506" s="5" t="s">
        <v>10770</v>
      </c>
      <c r="C11506" s="5" t="s">
        <v>11</v>
      </c>
      <c r="D11506" s="5" t="s">
        <v>12</v>
      </c>
      <c r="E11506" s="5" t="s">
        <v>10580</v>
      </c>
    </row>
    <row r="11507" spans="1:5" x14ac:dyDescent="0.25">
      <c r="A11507" s="5">
        <f>11499</f>
      </c>
      <c r="B11507" s="5" t="s">
        <v>10771</v>
      </c>
      <c r="C11507" s="5" t="s">
        <v>11</v>
      </c>
      <c r="D11507" s="5" t="s">
        <v>12</v>
      </c>
      <c r="E11507" s="5" t="s">
        <v>2318</v>
      </c>
    </row>
    <row r="11508" spans="1:5" x14ac:dyDescent="0.25">
      <c r="A11508" s="5">
        <f>11500</f>
      </c>
      <c r="B11508" s="5" t="s">
        <v>10772</v>
      </c>
      <c r="C11508" s="5" t="s">
        <v>11</v>
      </c>
      <c r="D11508" s="5" t="s">
        <v>12</v>
      </c>
      <c r="E11508" s="5" t="s">
        <v>2341</v>
      </c>
    </row>
    <row r="11509" spans="1:5" x14ac:dyDescent="0.25">
      <c r="A11509" s="5">
        <f>11501</f>
      </c>
      <c r="B11509" s="5" t="s">
        <v>10773</v>
      </c>
      <c r="C11509" s="5" t="s">
        <v>11</v>
      </c>
      <c r="D11509" s="5" t="s">
        <v>12</v>
      </c>
      <c r="E11509" s="5" t="s">
        <v>10059</v>
      </c>
    </row>
    <row r="11510" spans="1:5" x14ac:dyDescent="0.25">
      <c r="A11510" s="5">
        <f>11502</f>
      </c>
      <c r="B11510" s="5" t="s">
        <v>10774</v>
      </c>
      <c r="C11510" s="5" t="s">
        <v>11</v>
      </c>
      <c r="D11510" s="5" t="s">
        <v>12</v>
      </c>
      <c r="E11510" s="5" t="s">
        <v>2873</v>
      </c>
    </row>
    <row r="11511" spans="1:5" x14ac:dyDescent="0.25">
      <c r="A11511" s="5">
        <f>11503</f>
      </c>
      <c r="B11511" s="5" t="s">
        <v>10775</v>
      </c>
      <c r="C11511" s="5" t="s">
        <v>11</v>
      </c>
      <c r="D11511" s="5" t="s">
        <v>12</v>
      </c>
      <c r="E11511" s="5" t="s">
        <v>3606</v>
      </c>
    </row>
    <row r="11512" spans="1:5" x14ac:dyDescent="0.25">
      <c r="A11512" s="5">
        <f>11504</f>
      </c>
      <c r="B11512" s="5" t="s">
        <v>10776</v>
      </c>
      <c r="C11512" s="5" t="s">
        <v>11</v>
      </c>
      <c r="D11512" s="5" t="s">
        <v>12</v>
      </c>
      <c r="E11512" s="5" t="s">
        <v>2381</v>
      </c>
    </row>
    <row r="11513" spans="1:5" x14ac:dyDescent="0.25">
      <c r="A11513" s="5">
        <f>11505</f>
      </c>
      <c r="B11513" s="5" t="s">
        <v>10777</v>
      </c>
      <c r="C11513" s="5" t="s">
        <v>11</v>
      </c>
      <c r="D11513" s="5" t="s">
        <v>12</v>
      </c>
      <c r="E11513" s="5" t="s">
        <v>2407</v>
      </c>
    </row>
    <row r="11514" spans="1:5" x14ac:dyDescent="0.25">
      <c r="A11514" s="5">
        <f>11506</f>
      </c>
      <c r="B11514" s="5" t="s">
        <v>10778</v>
      </c>
      <c r="C11514" s="5" t="s">
        <v>11</v>
      </c>
      <c r="D11514" s="5" t="s">
        <v>12</v>
      </c>
      <c r="E11514" s="5" t="s">
        <v>722</v>
      </c>
    </row>
    <row r="11515" spans="1:5" x14ac:dyDescent="0.25">
      <c r="A11515" s="5">
        <f>11507</f>
      </c>
      <c r="B11515" s="5" t="s">
        <v>10779</v>
      </c>
      <c r="C11515" s="5" t="s">
        <v>11</v>
      </c>
      <c r="D11515" s="5" t="s">
        <v>12</v>
      </c>
      <c r="E11515" s="5" t="s">
        <v>4048</v>
      </c>
    </row>
    <row r="11516" spans="1:5" x14ac:dyDescent="0.25">
      <c r="A11516" s="5">
        <f>11508</f>
      </c>
      <c r="B11516" s="5" t="s">
        <v>10780</v>
      </c>
      <c r="C11516" s="5" t="s">
        <v>11</v>
      </c>
      <c r="D11516" s="5" t="s">
        <v>12</v>
      </c>
      <c r="E11516" s="5" t="s">
        <v>2675</v>
      </c>
    </row>
    <row r="11517" spans="1:5" x14ac:dyDescent="0.25">
      <c r="A11517" s="5">
        <f>11509</f>
      </c>
      <c r="B11517" s="5" t="s">
        <v>10781</v>
      </c>
      <c r="C11517" s="5" t="s">
        <v>11</v>
      </c>
      <c r="D11517" s="5" t="s">
        <v>12</v>
      </c>
      <c r="E11517" s="5" t="s">
        <v>4132</v>
      </c>
    </row>
    <row r="11518" spans="1:5" x14ac:dyDescent="0.25">
      <c r="A11518" s="5">
        <f>11510</f>
      </c>
      <c r="B11518" s="5" t="s">
        <v>10782</v>
      </c>
      <c r="C11518" s="5" t="s">
        <v>11</v>
      </c>
      <c r="D11518" s="5" t="s">
        <v>12</v>
      </c>
      <c r="E11518" s="5" t="s">
        <v>772</v>
      </c>
    </row>
    <row r="11519" spans="1:5" x14ac:dyDescent="0.25">
      <c r="A11519" s="5">
        <f>11511</f>
      </c>
      <c r="B11519" s="5" t="s">
        <v>10783</v>
      </c>
      <c r="C11519" s="5" t="s">
        <v>11</v>
      </c>
      <c r="D11519" s="5" t="s">
        <v>12</v>
      </c>
      <c r="E11519" s="5" t="s">
        <v>2588</v>
      </c>
    </row>
    <row r="11520" spans="1:5" x14ac:dyDescent="0.25">
      <c r="A11520" s="5">
        <f>11512</f>
      </c>
      <c r="B11520" s="5" t="s">
        <v>10784</v>
      </c>
      <c r="C11520" s="5" t="s">
        <v>11</v>
      </c>
      <c r="D11520" s="5" t="s">
        <v>12</v>
      </c>
      <c r="E11520" s="5" t="s">
        <v>781</v>
      </c>
    </row>
    <row r="11521" spans="1:5" x14ac:dyDescent="0.25">
      <c r="A11521" s="5">
        <f>11513</f>
      </c>
      <c r="B11521" s="5" t="s">
        <v>10785</v>
      </c>
      <c r="C11521" s="5" t="s">
        <v>11</v>
      </c>
      <c r="D11521" s="5" t="s">
        <v>12</v>
      </c>
      <c r="E11521" s="5" t="s">
        <v>3493</v>
      </c>
    </row>
    <row r="11522" spans="1:5" x14ac:dyDescent="0.25">
      <c r="A11522" s="5">
        <f>11514</f>
      </c>
      <c r="B11522" s="5" t="s">
        <v>10786</v>
      </c>
      <c r="C11522" s="5" t="s">
        <v>11</v>
      </c>
      <c r="D11522" s="5" t="s">
        <v>12</v>
      </c>
      <c r="E11522" s="5" t="s">
        <v>3533</v>
      </c>
    </row>
    <row r="11523" spans="1:5" x14ac:dyDescent="0.25">
      <c r="A11523" s="5">
        <f>11515</f>
      </c>
      <c r="B11523" s="5" t="s">
        <v>10787</v>
      </c>
      <c r="C11523" s="5" t="s">
        <v>11</v>
      </c>
      <c r="D11523" s="5" t="s">
        <v>12</v>
      </c>
      <c r="E11523" s="5" t="s">
        <v>2338</v>
      </c>
    </row>
    <row r="11524" spans="1:5" x14ac:dyDescent="0.25">
      <c r="A11524" s="5">
        <f>11516</f>
      </c>
      <c r="B11524" s="5" t="s">
        <v>10788</v>
      </c>
      <c r="C11524" s="5" t="s">
        <v>11</v>
      </c>
      <c r="D11524" s="5" t="s">
        <v>12</v>
      </c>
      <c r="E11524" s="5" t="s">
        <v>3927</v>
      </c>
    </row>
    <row r="11525" spans="1:5" x14ac:dyDescent="0.25">
      <c r="A11525" s="5">
        <f>11517</f>
      </c>
      <c r="B11525" s="5" t="s">
        <v>10789</v>
      </c>
      <c r="C11525" s="5" t="s">
        <v>11</v>
      </c>
      <c r="D11525" s="5" t="s">
        <v>12</v>
      </c>
      <c r="E11525" s="5" t="s">
        <v>3697</v>
      </c>
    </row>
    <row r="11526" spans="1:5" x14ac:dyDescent="0.25">
      <c r="A11526" s="5">
        <f>11518</f>
      </c>
      <c r="B11526" s="5" t="s">
        <v>10790</v>
      </c>
      <c r="C11526" s="5" t="s">
        <v>11</v>
      </c>
      <c r="D11526" s="5" t="s">
        <v>12</v>
      </c>
      <c r="E11526" s="5" t="s">
        <v>2819</v>
      </c>
    </row>
    <row r="11527" spans="1:5" x14ac:dyDescent="0.25">
      <c r="A11527" s="5">
        <f>11519</f>
      </c>
      <c r="B11527" s="5" t="s">
        <v>10791</v>
      </c>
      <c r="C11527" s="5" t="s">
        <v>11</v>
      </c>
      <c r="D11527" s="5" t="s">
        <v>12</v>
      </c>
      <c r="E11527" s="5" t="s">
        <v>10660</v>
      </c>
    </row>
    <row r="11528" spans="1:5" x14ac:dyDescent="0.25">
      <c r="A11528" s="5">
        <f>11520</f>
      </c>
      <c r="B11528" s="5" t="s">
        <v>10792</v>
      </c>
      <c r="C11528" s="5" t="s">
        <v>11</v>
      </c>
      <c r="D11528" s="5" t="s">
        <v>12</v>
      </c>
      <c r="E11528" s="5" t="s">
        <v>919</v>
      </c>
    </row>
    <row r="11529" spans="1:5" x14ac:dyDescent="0.25">
      <c r="A11529" s="5">
        <f>11521</f>
      </c>
      <c r="B11529" s="5" t="s">
        <v>10793</v>
      </c>
      <c r="C11529" s="5" t="s">
        <v>11</v>
      </c>
      <c r="D11529" s="5" t="s">
        <v>12</v>
      </c>
      <c r="E11529" s="5" t="s">
        <v>3879</v>
      </c>
    </row>
    <row r="11530" spans="1:5" x14ac:dyDescent="0.25">
      <c r="A11530" s="5">
        <f>11522</f>
      </c>
      <c r="B11530" s="5" t="s">
        <v>10794</v>
      </c>
      <c r="C11530" s="5" t="s">
        <v>11</v>
      </c>
      <c r="D11530" s="5" t="s">
        <v>12</v>
      </c>
      <c r="E11530" s="5" t="s">
        <v>954</v>
      </c>
    </row>
    <row r="11531" spans="1:5" x14ac:dyDescent="0.25">
      <c r="A11531" s="5">
        <f>11523</f>
      </c>
      <c r="B11531" s="5" t="s">
        <v>10795</v>
      </c>
      <c r="C11531" s="5" t="s">
        <v>11</v>
      </c>
      <c r="D11531" s="5" t="s">
        <v>12</v>
      </c>
      <c r="E11531" s="5" t="s">
        <v>2881</v>
      </c>
    </row>
    <row r="11532" spans="1:5" x14ac:dyDescent="0.25">
      <c r="A11532" s="5">
        <f>11524</f>
      </c>
      <c r="B11532" s="5" t="s">
        <v>10796</v>
      </c>
      <c r="C11532" s="5" t="s">
        <v>11</v>
      </c>
      <c r="D11532" s="5" t="s">
        <v>12</v>
      </c>
      <c r="E11532" s="5" t="s">
        <v>4142</v>
      </c>
    </row>
    <row r="11533" spans="1:5" x14ac:dyDescent="0.25">
      <c r="A11533" s="5">
        <f>11525</f>
      </c>
      <c r="B11533" s="5" t="s">
        <v>10797</v>
      </c>
      <c r="C11533" s="5" t="s">
        <v>11</v>
      </c>
      <c r="D11533" s="5" t="s">
        <v>12</v>
      </c>
      <c r="E11533" s="5" t="s">
        <v>892</v>
      </c>
    </row>
    <row r="11534" spans="1:5" x14ac:dyDescent="0.25">
      <c r="A11534" s="5">
        <f>11526</f>
      </c>
      <c r="B11534" s="5" t="s">
        <v>10798</v>
      </c>
      <c r="C11534" s="5" t="s">
        <v>11</v>
      </c>
      <c r="D11534" s="5" t="s">
        <v>12</v>
      </c>
      <c r="E11534" s="5" t="s">
        <v>3367</v>
      </c>
    </row>
    <row r="11535" spans="1:5" x14ac:dyDescent="0.25">
      <c r="A11535" s="5">
        <f>11527</f>
      </c>
      <c r="B11535" s="5" t="s">
        <v>10799</v>
      </c>
      <c r="C11535" s="5" t="s">
        <v>11</v>
      </c>
      <c r="D11535" s="5" t="s">
        <v>12</v>
      </c>
      <c r="E11535" s="5" t="s">
        <v>2590</v>
      </c>
    </row>
    <row r="11536" spans="1:5" x14ac:dyDescent="0.25">
      <c r="A11536" s="5">
        <f>11528</f>
      </c>
      <c r="B11536" s="5" t="s">
        <v>10800</v>
      </c>
      <c r="C11536" s="5" t="s">
        <v>11</v>
      </c>
      <c r="D11536" s="5" t="s">
        <v>12</v>
      </c>
      <c r="E11536" s="5" t="s">
        <v>3569</v>
      </c>
    </row>
    <row r="11537" spans="1:5" x14ac:dyDescent="0.25">
      <c r="A11537" s="5">
        <f>11529</f>
      </c>
      <c r="B11537" s="5" t="s">
        <v>10801</v>
      </c>
      <c r="C11537" s="5" t="s">
        <v>11</v>
      </c>
      <c r="D11537" s="5" t="s">
        <v>12</v>
      </c>
      <c r="E11537" s="5" t="s">
        <v>4164</v>
      </c>
    </row>
    <row r="11538" spans="1:5" x14ac:dyDescent="0.25">
      <c r="A11538" s="5">
        <f>11530</f>
      </c>
      <c r="B11538" s="5" t="s">
        <v>10802</v>
      </c>
      <c r="C11538" s="5" t="s">
        <v>11</v>
      </c>
      <c r="D11538" s="5" t="s">
        <v>12</v>
      </c>
      <c r="E11538" s="5" t="s">
        <v>3378</v>
      </c>
    </row>
    <row r="11539" spans="1:5" x14ac:dyDescent="0.25">
      <c r="A11539" s="5">
        <f>11531</f>
      </c>
      <c r="B11539" s="5" t="s">
        <v>10803</v>
      </c>
      <c r="C11539" s="5" t="s">
        <v>11</v>
      </c>
      <c r="D11539" s="5" t="s">
        <v>12</v>
      </c>
      <c r="E11539" s="5" t="s">
        <v>3527</v>
      </c>
    </row>
    <row r="11540" spans="1:5" x14ac:dyDescent="0.25">
      <c r="A11540" s="5">
        <f>11532</f>
      </c>
      <c r="B11540" s="5" t="s">
        <v>10804</v>
      </c>
      <c r="C11540" s="5" t="s">
        <v>11</v>
      </c>
      <c r="D11540" s="5" t="s">
        <v>12</v>
      </c>
      <c r="E11540" s="5" t="s">
        <v>1051</v>
      </c>
    </row>
    <row r="11541" spans="1:5" x14ac:dyDescent="0.25">
      <c r="A11541" s="5">
        <f>11533</f>
      </c>
      <c r="B11541" s="5" t="s">
        <v>10805</v>
      </c>
      <c r="C11541" s="5" t="s">
        <v>11</v>
      </c>
      <c r="D11541" s="5" t="s">
        <v>12</v>
      </c>
      <c r="E11541" s="5" t="s">
        <v>4142</v>
      </c>
    </row>
    <row r="11542" spans="1:5" x14ac:dyDescent="0.25">
      <c r="A11542" s="5">
        <f>11534</f>
      </c>
      <c r="B11542" s="5" t="s">
        <v>10806</v>
      </c>
      <c r="C11542" s="5" t="s">
        <v>11</v>
      </c>
      <c r="D11542" s="5" t="s">
        <v>12</v>
      </c>
      <c r="E11542" s="5" t="s">
        <v>4142</v>
      </c>
    </row>
    <row r="11543" spans="1:5" x14ac:dyDescent="0.25">
      <c r="A11543" s="5">
        <f>11535</f>
      </c>
      <c r="B11543" s="5" t="s">
        <v>10807</v>
      </c>
      <c r="C11543" s="5" t="s">
        <v>11</v>
      </c>
      <c r="D11543" s="5" t="s">
        <v>12</v>
      </c>
      <c r="E11543" s="5" t="s">
        <v>4048</v>
      </c>
    </row>
    <row r="11544" spans="1:5" x14ac:dyDescent="0.25">
      <c r="A11544" s="5">
        <f>11536</f>
      </c>
      <c r="B11544" s="5" t="s">
        <v>10808</v>
      </c>
      <c r="C11544" s="5" t="s">
        <v>11</v>
      </c>
      <c r="D11544" s="5" t="s">
        <v>12</v>
      </c>
      <c r="E11544" s="5" t="s">
        <v>1060</v>
      </c>
    </row>
    <row r="11545" spans="1:5" x14ac:dyDescent="0.25">
      <c r="A11545" s="5">
        <f>11537</f>
      </c>
      <c r="B11545" s="5" t="s">
        <v>10809</v>
      </c>
      <c r="C11545" s="5" t="s">
        <v>11</v>
      </c>
      <c r="D11545" s="5" t="s">
        <v>12</v>
      </c>
      <c r="E11545" s="5" t="s">
        <v>2247</v>
      </c>
    </row>
    <row r="11546" spans="1:5" x14ac:dyDescent="0.25">
      <c r="A11546" s="5">
        <f>11538</f>
      </c>
      <c r="B11546" s="5" t="s">
        <v>10810</v>
      </c>
      <c r="C11546" s="5" t="s">
        <v>11</v>
      </c>
      <c r="D11546" s="5" t="s">
        <v>12</v>
      </c>
      <c r="E11546" s="5" t="s">
        <v>3527</v>
      </c>
    </row>
    <row r="11547" spans="1:5" x14ac:dyDescent="0.25">
      <c r="A11547" s="5">
        <f>11539</f>
      </c>
      <c r="B11547" s="5" t="s">
        <v>10811</v>
      </c>
      <c r="C11547" s="5" t="s">
        <v>11</v>
      </c>
      <c r="D11547" s="5" t="s">
        <v>12</v>
      </c>
      <c r="E11547" s="5" t="s">
        <v>828</v>
      </c>
    </row>
    <row r="11548" spans="1:5" x14ac:dyDescent="0.25">
      <c r="A11548" s="5">
        <f>11540</f>
      </c>
      <c r="B11548" s="5" t="s">
        <v>10812</v>
      </c>
      <c r="C11548" s="5" t="s">
        <v>11</v>
      </c>
      <c r="D11548" s="5" t="s">
        <v>12</v>
      </c>
      <c r="E11548" s="5" t="s">
        <v>938</v>
      </c>
    </row>
    <row r="11549" spans="1:5" x14ac:dyDescent="0.25">
      <c r="A11549" s="5">
        <f>11541</f>
      </c>
      <c r="B11549" s="5" t="s">
        <v>10813</v>
      </c>
      <c r="C11549" s="5" t="s">
        <v>11</v>
      </c>
      <c r="D11549" s="5" t="s">
        <v>12</v>
      </c>
      <c r="E11549" s="5" t="s">
        <v>3767</v>
      </c>
    </row>
    <row r="11550" spans="1:5" x14ac:dyDescent="0.25">
      <c r="A11550" s="5">
        <f>11542</f>
      </c>
      <c r="B11550" s="5" t="s">
        <v>10814</v>
      </c>
      <c r="C11550" s="5" t="s">
        <v>11</v>
      </c>
      <c r="D11550" s="5" t="s">
        <v>12</v>
      </c>
      <c r="E11550" s="5" t="s">
        <v>4018</v>
      </c>
    </row>
    <row r="11551" spans="1:5" x14ac:dyDescent="0.25">
      <c r="A11551" s="5">
        <f>11543</f>
      </c>
      <c r="B11551" s="5" t="s">
        <v>10815</v>
      </c>
      <c r="C11551" s="5" t="s">
        <v>11</v>
      </c>
      <c r="D11551" s="5" t="s">
        <v>12</v>
      </c>
      <c r="E11551" s="5" t="s">
        <v>2592</v>
      </c>
    </row>
    <row r="11552" spans="1:5" x14ac:dyDescent="0.25">
      <c r="A11552" s="5">
        <f>11544</f>
      </c>
      <c r="B11552" s="5" t="s">
        <v>10816</v>
      </c>
      <c r="C11552" s="5" t="s">
        <v>11</v>
      </c>
      <c r="D11552" s="5" t="s">
        <v>12</v>
      </c>
      <c r="E11552" s="5" t="s">
        <v>3425</v>
      </c>
    </row>
    <row r="11553" spans="1:5" x14ac:dyDescent="0.25">
      <c r="A11553" s="5">
        <f>11545</f>
      </c>
      <c r="B11553" s="5" t="s">
        <v>10817</v>
      </c>
      <c r="C11553" s="5" t="s">
        <v>11</v>
      </c>
      <c r="D11553" s="5" t="s">
        <v>12</v>
      </c>
      <c r="E11553" s="5" t="s">
        <v>1060</v>
      </c>
    </row>
    <row r="11554" spans="1:5" x14ac:dyDescent="0.25">
      <c r="A11554" s="5">
        <f>11546</f>
      </c>
      <c r="B11554" s="5" t="s">
        <v>10818</v>
      </c>
      <c r="C11554" s="5" t="s">
        <v>11</v>
      </c>
      <c r="D11554" s="5" t="s">
        <v>12</v>
      </c>
      <c r="E11554" s="5" t="s">
        <v>718</v>
      </c>
    </row>
    <row r="11555" spans="1:5" x14ac:dyDescent="0.25">
      <c r="A11555" s="5">
        <f>11547</f>
      </c>
      <c r="B11555" s="5" t="s">
        <v>10819</v>
      </c>
      <c r="C11555" s="5" t="s">
        <v>11</v>
      </c>
      <c r="D11555" s="5" t="s">
        <v>12</v>
      </c>
      <c r="E11555" s="5" t="s">
        <v>3586</v>
      </c>
    </row>
    <row r="11556" spans="1:5" x14ac:dyDescent="0.25">
      <c r="A11556" s="5">
        <f>11548</f>
      </c>
      <c r="B11556" s="5" t="s">
        <v>10820</v>
      </c>
      <c r="C11556" s="5" t="s">
        <v>11</v>
      </c>
      <c r="D11556" s="5" t="s">
        <v>12</v>
      </c>
      <c r="E11556" s="5" t="s">
        <v>4048</v>
      </c>
    </row>
    <row r="11557" spans="1:5" x14ac:dyDescent="0.25">
      <c r="A11557" s="5">
        <f>11549</f>
      </c>
      <c r="B11557" s="5" t="s">
        <v>10821</v>
      </c>
      <c r="C11557" s="5" t="s">
        <v>11</v>
      </c>
      <c r="D11557" s="5" t="s">
        <v>12</v>
      </c>
      <c r="E11557" s="5" t="s">
        <v>2876</v>
      </c>
    </row>
    <row r="11558" spans="1:5" x14ac:dyDescent="0.25">
      <c r="A11558" s="5">
        <f>11550</f>
      </c>
      <c r="B11558" s="5" t="s">
        <v>10822</v>
      </c>
      <c r="C11558" s="5" t="s">
        <v>11</v>
      </c>
      <c r="D11558" s="5" t="s">
        <v>12</v>
      </c>
      <c r="E11558" s="5" t="s">
        <v>2307</v>
      </c>
    </row>
    <row r="11559" spans="1:5" x14ac:dyDescent="0.25">
      <c r="A11559" s="5">
        <f>11551</f>
      </c>
      <c r="B11559" s="5" t="s">
        <v>10823</v>
      </c>
      <c r="C11559" s="5" t="s">
        <v>11</v>
      </c>
      <c r="D11559" s="5" t="s">
        <v>12</v>
      </c>
      <c r="E11559" s="5" t="s">
        <v>3589</v>
      </c>
    </row>
    <row r="11560" spans="1:5" x14ac:dyDescent="0.25">
      <c r="A11560" s="5">
        <f>11552</f>
      </c>
      <c r="B11560" s="5" t="s">
        <v>10824</v>
      </c>
      <c r="C11560" s="5" t="s">
        <v>11</v>
      </c>
      <c r="D11560" s="5" t="s">
        <v>12</v>
      </c>
      <c r="E11560" s="5" t="s">
        <v>873</v>
      </c>
    </row>
    <row r="11561" spans="1:5" x14ac:dyDescent="0.25">
      <c r="A11561" s="5">
        <f>11553</f>
      </c>
      <c r="B11561" s="5" t="s">
        <v>10825</v>
      </c>
      <c r="C11561" s="5" t="s">
        <v>11</v>
      </c>
      <c r="D11561" s="5" t="s">
        <v>12</v>
      </c>
      <c r="E11561" s="5" t="s">
        <v>2624</v>
      </c>
    </row>
    <row r="11562" spans="1:5" x14ac:dyDescent="0.25">
      <c r="A11562" s="5">
        <f>11554</f>
      </c>
      <c r="B11562" s="5" t="s">
        <v>10826</v>
      </c>
      <c r="C11562" s="5" t="s">
        <v>11</v>
      </c>
      <c r="D11562" s="5" t="s">
        <v>12</v>
      </c>
      <c r="E11562" s="5" t="s">
        <v>3496</v>
      </c>
    </row>
    <row r="11563" spans="1:5" x14ac:dyDescent="0.25">
      <c r="A11563" s="5">
        <f>11555</f>
      </c>
      <c r="B11563" s="5" t="s">
        <v>10827</v>
      </c>
      <c r="C11563" s="5" t="s">
        <v>11</v>
      </c>
      <c r="D11563" s="5" t="s">
        <v>12</v>
      </c>
      <c r="E11563" s="5" t="s">
        <v>1020</v>
      </c>
    </row>
    <row r="11564" spans="1:5" x14ac:dyDescent="0.25">
      <c r="A11564" s="5">
        <f>11556</f>
      </c>
      <c r="B11564" s="5" t="s">
        <v>10828</v>
      </c>
      <c r="C11564" s="5" t="s">
        <v>11</v>
      </c>
      <c r="D11564" s="5" t="s">
        <v>12</v>
      </c>
      <c r="E11564" s="5" t="s">
        <v>722</v>
      </c>
    </row>
    <row r="11565" spans="1:5" x14ac:dyDescent="0.25">
      <c r="A11565" s="5">
        <f>11557</f>
      </c>
      <c r="B11565" s="5" t="s">
        <v>10829</v>
      </c>
      <c r="C11565" s="5" t="s">
        <v>11</v>
      </c>
      <c r="D11565" s="5" t="s">
        <v>12</v>
      </c>
      <c r="E11565" s="5" t="s">
        <v>828</v>
      </c>
    </row>
    <row r="11566" spans="1:5" x14ac:dyDescent="0.25">
      <c r="A11566" s="5">
        <f>11558</f>
      </c>
      <c r="B11566" s="5" t="s">
        <v>10830</v>
      </c>
      <c r="C11566" s="5" t="s">
        <v>11</v>
      </c>
      <c r="D11566" s="5" t="s">
        <v>12</v>
      </c>
      <c r="E11566" s="5" t="s">
        <v>3563</v>
      </c>
    </row>
    <row r="11567" spans="1:5" x14ac:dyDescent="0.25">
      <c r="A11567" s="5">
        <f>11559</f>
      </c>
      <c r="B11567" s="5" t="s">
        <v>10831</v>
      </c>
      <c r="C11567" s="5" t="s">
        <v>11</v>
      </c>
      <c r="D11567" s="5" t="s">
        <v>12</v>
      </c>
      <c r="E11567" s="5" t="s">
        <v>10557</v>
      </c>
    </row>
    <row r="11568" spans="1:5" x14ac:dyDescent="0.25">
      <c r="A11568" s="5">
        <f>11560</f>
      </c>
      <c r="B11568" s="5" t="s">
        <v>10832</v>
      </c>
      <c r="C11568" s="5" t="s">
        <v>11</v>
      </c>
      <c r="D11568" s="5" t="s">
        <v>12</v>
      </c>
      <c r="E11568" s="5" t="s">
        <v>2661</v>
      </c>
    </row>
    <row r="11569" spans="1:5" x14ac:dyDescent="0.25">
      <c r="A11569" s="5">
        <f>11561</f>
      </c>
      <c r="B11569" s="5" t="s">
        <v>10833</v>
      </c>
      <c r="C11569" s="5" t="s">
        <v>11</v>
      </c>
      <c r="D11569" s="5" t="s">
        <v>12</v>
      </c>
      <c r="E11569" s="5" t="s">
        <v>963</v>
      </c>
    </row>
    <row r="11570" spans="1:5" x14ac:dyDescent="0.25">
      <c r="A11570" s="5">
        <f>11562</f>
      </c>
      <c r="B11570" s="5" t="s">
        <v>10834</v>
      </c>
      <c r="C11570" s="5" t="s">
        <v>11</v>
      </c>
      <c r="D11570" s="5" t="s">
        <v>12</v>
      </c>
      <c r="E11570" s="5" t="s">
        <v>2381</v>
      </c>
    </row>
    <row r="11571" spans="1:5" x14ac:dyDescent="0.25">
      <c r="A11571" s="5">
        <f>11563</f>
      </c>
      <c r="B11571" s="5" t="s">
        <v>10835</v>
      </c>
      <c r="C11571" s="5" t="s">
        <v>11</v>
      </c>
      <c r="D11571" s="5" t="s">
        <v>12</v>
      </c>
      <c r="E11571" s="5" t="s">
        <v>3761</v>
      </c>
    </row>
    <row r="11572" spans="1:5" x14ac:dyDescent="0.25">
      <c r="A11572" s="5">
        <f>11564</f>
      </c>
      <c r="B11572" s="5" t="s">
        <v>10836</v>
      </c>
      <c r="C11572" s="5" t="s">
        <v>11</v>
      </c>
      <c r="D11572" s="5" t="s">
        <v>12</v>
      </c>
      <c r="E11572" s="5" t="s">
        <v>849</v>
      </c>
    </row>
    <row r="11573" spans="1:5" x14ac:dyDescent="0.25">
      <c r="A11573" s="5">
        <f>11565</f>
      </c>
      <c r="B11573" s="5" t="s">
        <v>10837</v>
      </c>
      <c r="C11573" s="5" t="s">
        <v>11</v>
      </c>
      <c r="D11573" s="5" t="s">
        <v>12</v>
      </c>
      <c r="E11573" s="5" t="s">
        <v>2624</v>
      </c>
    </row>
    <row r="11574" spans="1:5" x14ac:dyDescent="0.25">
      <c r="A11574" s="5">
        <f>11566</f>
      </c>
      <c r="B11574" s="5" t="s">
        <v>10838</v>
      </c>
      <c r="C11574" s="5" t="s">
        <v>11</v>
      </c>
      <c r="D11574" s="5" t="s">
        <v>12</v>
      </c>
      <c r="E11574" s="5" t="s">
        <v>3759</v>
      </c>
    </row>
    <row r="11575" spans="1:5" x14ac:dyDescent="0.25">
      <c r="A11575" s="5">
        <f>11567</f>
      </c>
      <c r="B11575" s="5" t="s">
        <v>10839</v>
      </c>
      <c r="C11575" s="5" t="s">
        <v>11</v>
      </c>
      <c r="D11575" s="5" t="s">
        <v>12</v>
      </c>
      <c r="E11575" s="5" t="s">
        <v>10541</v>
      </c>
    </row>
    <row r="11576" spans="1:5" x14ac:dyDescent="0.25">
      <c r="A11576" s="5">
        <f>11568</f>
      </c>
      <c r="B11576" s="5" t="s">
        <v>10840</v>
      </c>
      <c r="C11576" s="5" t="s">
        <v>11</v>
      </c>
      <c r="D11576" s="5" t="s">
        <v>12</v>
      </c>
      <c r="E11576" s="5" t="s">
        <v>2668</v>
      </c>
    </row>
    <row r="11577" spans="1:5" x14ac:dyDescent="0.25">
      <c r="A11577" s="5">
        <f>11569</f>
      </c>
      <c r="B11577" s="5" t="s">
        <v>10841</v>
      </c>
      <c r="C11577" s="5" t="s">
        <v>11</v>
      </c>
      <c r="D11577" s="5" t="s">
        <v>12</v>
      </c>
      <c r="E11577" s="5" t="s">
        <v>999</v>
      </c>
    </row>
    <row r="11578" spans="1:5" x14ac:dyDescent="0.25">
      <c r="A11578" s="5">
        <f>11570</f>
      </c>
      <c r="B11578" s="5" t="s">
        <v>10842</v>
      </c>
      <c r="C11578" s="5" t="s">
        <v>11</v>
      </c>
      <c r="D11578" s="5" t="s">
        <v>12</v>
      </c>
      <c r="E11578" s="5" t="s">
        <v>10843</v>
      </c>
    </row>
    <row r="11579" spans="1:5" x14ac:dyDescent="0.25">
      <c r="A11579" s="5">
        <f>11571</f>
      </c>
      <c r="B11579" s="5" t="s">
        <v>10844</v>
      </c>
      <c r="C11579" s="5" t="s">
        <v>11</v>
      </c>
      <c r="D11579" s="5" t="s">
        <v>12</v>
      </c>
      <c r="E11579" s="5" t="s">
        <v>3958</v>
      </c>
    </row>
    <row r="11580" spans="1:5" x14ac:dyDescent="0.25">
      <c r="A11580" s="5">
        <f>11572</f>
      </c>
      <c r="B11580" s="5" t="s">
        <v>10845</v>
      </c>
      <c r="C11580" s="5" t="s">
        <v>11</v>
      </c>
      <c r="D11580" s="5" t="s">
        <v>12</v>
      </c>
      <c r="E11580" s="5" t="s">
        <v>9521</v>
      </c>
    </row>
    <row r="11581" spans="1:5" x14ac:dyDescent="0.25">
      <c r="A11581" s="5">
        <f>11573</f>
      </c>
      <c r="B11581" s="5" t="s">
        <v>10846</v>
      </c>
      <c r="C11581" s="5" t="s">
        <v>11</v>
      </c>
      <c r="D11581" s="5" t="s">
        <v>12</v>
      </c>
      <c r="E11581" s="5" t="s">
        <v>1051</v>
      </c>
    </row>
    <row r="11582" spans="1:5" x14ac:dyDescent="0.25">
      <c r="A11582" s="5">
        <f>11574</f>
      </c>
      <c r="B11582" s="5" t="s">
        <v>10847</v>
      </c>
      <c r="C11582" s="5" t="s">
        <v>11</v>
      </c>
      <c r="D11582" s="5" t="s">
        <v>12</v>
      </c>
      <c r="E11582" s="5" t="s">
        <v>2394</v>
      </c>
    </row>
    <row r="11583" spans="1:5" x14ac:dyDescent="0.25">
      <c r="A11583" s="5">
        <f>11575</f>
      </c>
      <c r="B11583" s="5" t="s">
        <v>10848</v>
      </c>
      <c r="C11583" s="5" t="s">
        <v>11</v>
      </c>
      <c r="D11583" s="5" t="s">
        <v>12</v>
      </c>
      <c r="E11583" s="5" t="s">
        <v>3771</v>
      </c>
    </row>
    <row r="11584" spans="1:5" x14ac:dyDescent="0.25">
      <c r="A11584" s="5">
        <f>11576</f>
      </c>
      <c r="B11584" s="5" t="s">
        <v>10849</v>
      </c>
      <c r="C11584" s="5" t="s">
        <v>11</v>
      </c>
      <c r="D11584" s="5" t="s">
        <v>12</v>
      </c>
      <c r="E11584" s="5" t="s">
        <v>885</v>
      </c>
    </row>
    <row r="11585" spans="1:5" x14ac:dyDescent="0.25">
      <c r="A11585" s="5">
        <f>11577</f>
      </c>
      <c r="B11585" s="5" t="s">
        <v>10850</v>
      </c>
      <c r="C11585" s="5" t="s">
        <v>11</v>
      </c>
      <c r="D11585" s="5" t="s">
        <v>12</v>
      </c>
      <c r="E11585" s="5" t="s">
        <v>2754</v>
      </c>
    </row>
    <row r="11586" spans="1:5" x14ac:dyDescent="0.25">
      <c r="A11586" s="5">
        <f>11578</f>
      </c>
      <c r="B11586" s="5" t="s">
        <v>10851</v>
      </c>
      <c r="C11586" s="5" t="s">
        <v>11</v>
      </c>
      <c r="D11586" s="5" t="s">
        <v>12</v>
      </c>
      <c r="E11586" s="5" t="s">
        <v>2333</v>
      </c>
    </row>
    <row r="11587" spans="1:5" x14ac:dyDescent="0.25">
      <c r="A11587" s="5">
        <f>11579</f>
      </c>
      <c r="B11587" s="5" t="s">
        <v>10852</v>
      </c>
      <c r="C11587" s="5" t="s">
        <v>11</v>
      </c>
      <c r="D11587" s="5" t="s">
        <v>12</v>
      </c>
      <c r="E11587" s="5" t="s">
        <v>938</v>
      </c>
    </row>
    <row r="11588" spans="1:5" x14ac:dyDescent="0.25">
      <c r="A11588" s="5">
        <f>11580</f>
      </c>
      <c r="B11588" s="5" t="s">
        <v>10853</v>
      </c>
      <c r="C11588" s="5" t="s">
        <v>11</v>
      </c>
      <c r="D11588" s="5" t="s">
        <v>12</v>
      </c>
      <c r="E11588" s="5" t="s">
        <v>2590</v>
      </c>
    </row>
    <row r="11589" spans="1:5" x14ac:dyDescent="0.25">
      <c r="A11589" s="5">
        <f>11581</f>
      </c>
      <c r="B11589" s="5" t="s">
        <v>10854</v>
      </c>
      <c r="C11589" s="5" t="s">
        <v>11</v>
      </c>
      <c r="D11589" s="5" t="s">
        <v>12</v>
      </c>
      <c r="E11589" s="5" t="s">
        <v>2285</v>
      </c>
    </row>
    <row r="11590" spans="1:5" x14ac:dyDescent="0.25">
      <c r="A11590" s="5">
        <f>11582</f>
      </c>
      <c r="B11590" s="5" t="s">
        <v>10855</v>
      </c>
      <c r="C11590" s="5" t="s">
        <v>11</v>
      </c>
      <c r="D11590" s="5" t="s">
        <v>12</v>
      </c>
      <c r="E11590" s="5" t="s">
        <v>10739</v>
      </c>
    </row>
    <row r="11591" spans="1:5" x14ac:dyDescent="0.25">
      <c r="A11591" s="5">
        <f>11583</f>
      </c>
      <c r="B11591" s="5" t="s">
        <v>10856</v>
      </c>
      <c r="C11591" s="5" t="s">
        <v>11</v>
      </c>
      <c r="D11591" s="5" t="s">
        <v>12</v>
      </c>
      <c r="E11591" s="5" t="s">
        <v>917</v>
      </c>
    </row>
    <row r="11592" spans="1:5" x14ac:dyDescent="0.25">
      <c r="A11592" s="5">
        <f>11584</f>
      </c>
      <c r="B11592" s="5" t="s">
        <v>10857</v>
      </c>
      <c r="C11592" s="5" t="s">
        <v>11</v>
      </c>
      <c r="D11592" s="5" t="s">
        <v>12</v>
      </c>
      <c r="E11592" s="5" t="s">
        <v>2668</v>
      </c>
    </row>
    <row r="11593" spans="1:5" x14ac:dyDescent="0.25">
      <c r="A11593" s="5">
        <f>11585</f>
      </c>
      <c r="B11593" s="5" t="s">
        <v>10858</v>
      </c>
      <c r="C11593" s="5" t="s">
        <v>11</v>
      </c>
      <c r="D11593" s="5" t="s">
        <v>12</v>
      </c>
      <c r="E11593" s="5" t="s">
        <v>3601</v>
      </c>
    </row>
    <row r="11594" spans="1:5" x14ac:dyDescent="0.25">
      <c r="A11594" s="5">
        <f>11586</f>
      </c>
      <c r="B11594" s="5" t="s">
        <v>10859</v>
      </c>
      <c r="C11594" s="5" t="s">
        <v>11</v>
      </c>
      <c r="D11594" s="5" t="s">
        <v>12</v>
      </c>
      <c r="E11594" s="5" t="s">
        <v>2302</v>
      </c>
    </row>
    <row r="11595" spans="1:5" x14ac:dyDescent="0.25">
      <c r="A11595" s="5">
        <f>11587</f>
      </c>
      <c r="B11595" s="5" t="s">
        <v>10860</v>
      </c>
      <c r="C11595" s="5" t="s">
        <v>11</v>
      </c>
      <c r="D11595" s="5" t="s">
        <v>12</v>
      </c>
      <c r="E11595" s="5" t="s">
        <v>875</v>
      </c>
    </row>
    <row r="11596" spans="1:5" x14ac:dyDescent="0.25">
      <c r="A11596" s="5">
        <f>11588</f>
      </c>
      <c r="B11596" s="5" t="s">
        <v>10861</v>
      </c>
      <c r="C11596" s="5" t="s">
        <v>11</v>
      </c>
      <c r="D11596" s="5" t="s">
        <v>12</v>
      </c>
      <c r="E11596" s="5" t="s">
        <v>2816</v>
      </c>
    </row>
    <row r="11597" spans="1:5" x14ac:dyDescent="0.25">
      <c r="A11597" s="5">
        <f>11589</f>
      </c>
      <c r="B11597" s="5" t="s">
        <v>10862</v>
      </c>
      <c r="C11597" s="5" t="s">
        <v>11</v>
      </c>
      <c r="D11597" s="5" t="s">
        <v>12</v>
      </c>
      <c r="E11597" s="5" t="s">
        <v>2826</v>
      </c>
    </row>
    <row r="11598" spans="1:5" x14ac:dyDescent="0.25">
      <c r="A11598" s="5">
        <f>11590</f>
      </c>
      <c r="B11598" s="5" t="s">
        <v>10863</v>
      </c>
      <c r="C11598" s="5" t="s">
        <v>11</v>
      </c>
      <c r="D11598" s="5" t="s">
        <v>12</v>
      </c>
      <c r="E11598" s="5" t="s">
        <v>3924</v>
      </c>
    </row>
    <row r="11599" spans="1:5" x14ac:dyDescent="0.25">
      <c r="A11599" s="5">
        <f>11591</f>
      </c>
      <c r="B11599" s="5" t="s">
        <v>10864</v>
      </c>
      <c r="C11599" s="5" t="s">
        <v>11</v>
      </c>
      <c r="D11599" s="5" t="s">
        <v>12</v>
      </c>
      <c r="E11599" s="5" t="s">
        <v>10479</v>
      </c>
    </row>
    <row r="11600" spans="1:5" x14ac:dyDescent="0.25">
      <c r="A11600" s="5">
        <f>11592</f>
      </c>
      <c r="B11600" s="5" t="s">
        <v>10865</v>
      </c>
      <c r="C11600" s="5" t="s">
        <v>11</v>
      </c>
      <c r="D11600" s="5" t="s">
        <v>12</v>
      </c>
      <c r="E11600" s="5" t="s">
        <v>775</v>
      </c>
    </row>
    <row r="11601" spans="1:5" x14ac:dyDescent="0.25">
      <c r="A11601" s="5">
        <f>11593</f>
      </c>
      <c r="B11601" s="5" t="s">
        <v>10866</v>
      </c>
      <c r="C11601" s="5" t="s">
        <v>11</v>
      </c>
      <c r="D11601" s="5" t="s">
        <v>12</v>
      </c>
      <c r="E11601" s="5" t="s">
        <v>2586</v>
      </c>
    </row>
    <row r="11602" spans="1:5" x14ac:dyDescent="0.25">
      <c r="A11602" s="5">
        <f>11594</f>
      </c>
      <c r="B11602" s="5" t="s">
        <v>10867</v>
      </c>
      <c r="C11602" s="5" t="s">
        <v>11</v>
      </c>
      <c r="D11602" s="5" t="s">
        <v>12</v>
      </c>
      <c r="E11602" s="5" t="s">
        <v>720</v>
      </c>
    </row>
    <row r="11603" spans="1:5" x14ac:dyDescent="0.25">
      <c r="A11603" s="5">
        <f>11595</f>
      </c>
      <c r="B11603" s="5" t="s">
        <v>10868</v>
      </c>
      <c r="C11603" s="5" t="s">
        <v>11</v>
      </c>
      <c r="D11603" s="5" t="s">
        <v>12</v>
      </c>
      <c r="E11603" s="5" t="s">
        <v>3563</v>
      </c>
    </row>
    <row r="11604" spans="1:5" x14ac:dyDescent="0.25">
      <c r="A11604" s="5">
        <f>11596</f>
      </c>
      <c r="B11604" s="5" t="s">
        <v>10869</v>
      </c>
      <c r="C11604" s="5" t="s">
        <v>11</v>
      </c>
      <c r="D11604" s="5" t="s">
        <v>12</v>
      </c>
      <c r="E11604" s="5" t="s">
        <v>3606</v>
      </c>
    </row>
    <row r="11605" spans="1:5" x14ac:dyDescent="0.25">
      <c r="A11605" s="5">
        <f>11597</f>
      </c>
      <c r="B11605" s="5" t="s">
        <v>10870</v>
      </c>
      <c r="C11605" s="5" t="s">
        <v>11</v>
      </c>
      <c r="D11605" s="5" t="s">
        <v>12</v>
      </c>
      <c r="E11605" s="5" t="s">
        <v>2823</v>
      </c>
    </row>
    <row r="11606" spans="1:5" x14ac:dyDescent="0.25">
      <c r="A11606" s="5">
        <f>11598</f>
      </c>
      <c r="B11606" s="5" t="s">
        <v>10871</v>
      </c>
      <c r="C11606" s="5" t="s">
        <v>11</v>
      </c>
      <c r="D11606" s="5" t="s">
        <v>12</v>
      </c>
      <c r="E11606" s="5" t="s">
        <v>7767</v>
      </c>
    </row>
    <row r="11607" spans="1:5" x14ac:dyDescent="0.25">
      <c r="A11607" s="5">
        <f>11599</f>
      </c>
      <c r="B11607" s="5" t="s">
        <v>10872</v>
      </c>
      <c r="C11607" s="5" t="s">
        <v>11</v>
      </c>
      <c r="D11607" s="5" t="s">
        <v>12</v>
      </c>
      <c r="E11607" s="5" t="s">
        <v>3680</v>
      </c>
    </row>
    <row r="11608" spans="1:5" x14ac:dyDescent="0.25">
      <c r="A11608" s="5">
        <f>11600</f>
      </c>
      <c r="B11608" s="5" t="s">
        <v>10873</v>
      </c>
      <c r="C11608" s="5" t="s">
        <v>11</v>
      </c>
      <c r="D11608" s="5" t="s">
        <v>12</v>
      </c>
      <c r="E11608" s="5" t="s">
        <v>2290</v>
      </c>
    </row>
    <row r="11609" spans="1:5" x14ac:dyDescent="0.25">
      <c r="A11609" s="5">
        <f>11601</f>
      </c>
      <c r="B11609" s="5" t="s">
        <v>10874</v>
      </c>
      <c r="C11609" s="5" t="s">
        <v>11</v>
      </c>
      <c r="D11609" s="5" t="s">
        <v>12</v>
      </c>
      <c r="E11609" s="5" t="s">
        <v>10580</v>
      </c>
    </row>
    <row r="11610" spans="1:5" x14ac:dyDescent="0.25">
      <c r="A11610" s="5">
        <f>11602</f>
      </c>
      <c r="B11610" s="5" t="s">
        <v>10875</v>
      </c>
      <c r="C11610" s="5" t="s">
        <v>11</v>
      </c>
      <c r="D11610" s="5" t="s">
        <v>12</v>
      </c>
      <c r="E11610" s="5" t="s">
        <v>3771</v>
      </c>
    </row>
    <row r="11611" spans="1:5" x14ac:dyDescent="0.25">
      <c r="A11611" s="5">
        <f>11603</f>
      </c>
      <c r="B11611" s="5" t="s">
        <v>10876</v>
      </c>
      <c r="C11611" s="5" t="s">
        <v>11</v>
      </c>
      <c r="D11611" s="5" t="s">
        <v>12</v>
      </c>
      <c r="E11611" s="5" t="s">
        <v>871</v>
      </c>
    </row>
    <row r="11612" spans="1:5" x14ac:dyDescent="0.25">
      <c r="A11612" s="5">
        <f>11604</f>
      </c>
      <c r="B11612" s="5" t="s">
        <v>10877</v>
      </c>
      <c r="C11612" s="5" t="s">
        <v>11</v>
      </c>
      <c r="D11612" s="5" t="s">
        <v>12</v>
      </c>
      <c r="E11612" s="5" t="s">
        <v>10878</v>
      </c>
    </row>
    <row r="11613" spans="1:5" x14ac:dyDescent="0.25">
      <c r="A11613" s="5">
        <f>11605</f>
      </c>
      <c r="B11613" s="5" t="s">
        <v>10879</v>
      </c>
      <c r="C11613" s="5" t="s">
        <v>11</v>
      </c>
      <c r="D11613" s="5" t="s">
        <v>12</v>
      </c>
      <c r="E11613" s="5" t="s">
        <v>1053</v>
      </c>
    </row>
    <row r="11614" spans="1:5" x14ac:dyDescent="0.25">
      <c r="A11614" s="5">
        <f>11606</f>
      </c>
      <c r="B11614" s="5" t="s">
        <v>10880</v>
      </c>
      <c r="C11614" s="5" t="s">
        <v>11</v>
      </c>
      <c r="D11614" s="5" t="s">
        <v>12</v>
      </c>
      <c r="E11614" s="5" t="s">
        <v>3604</v>
      </c>
    </row>
    <row r="11615" spans="1:5" x14ac:dyDescent="0.25">
      <c r="A11615" s="5">
        <f>11607</f>
      </c>
      <c r="B11615" s="5" t="s">
        <v>10881</v>
      </c>
      <c r="C11615" s="5" t="s">
        <v>11</v>
      </c>
      <c r="D11615" s="5" t="s">
        <v>12</v>
      </c>
      <c r="E11615" s="5" t="s">
        <v>3382</v>
      </c>
    </row>
    <row r="11616" spans="1:5" x14ac:dyDescent="0.25">
      <c r="A11616" s="5">
        <f>11608</f>
      </c>
      <c r="B11616" s="5" t="s">
        <v>10882</v>
      </c>
      <c r="C11616" s="5" t="s">
        <v>11</v>
      </c>
      <c r="D11616" s="5" t="s">
        <v>12</v>
      </c>
      <c r="E11616" s="5" t="s">
        <v>957</v>
      </c>
    </row>
    <row r="11617" spans="1:5" x14ac:dyDescent="0.25">
      <c r="A11617" s="5">
        <f>11609</f>
      </c>
      <c r="B11617" s="5" t="s">
        <v>10883</v>
      </c>
      <c r="C11617" s="5" t="s">
        <v>11</v>
      </c>
      <c r="D11617" s="5" t="s">
        <v>12</v>
      </c>
      <c r="E11617" s="5" t="s">
        <v>2944</v>
      </c>
    </row>
    <row r="11618" spans="1:5" x14ac:dyDescent="0.25">
      <c r="A11618" s="5">
        <f>11610</f>
      </c>
      <c r="B11618" s="5" t="s">
        <v>10884</v>
      </c>
      <c r="C11618" s="5" t="s">
        <v>11</v>
      </c>
      <c r="D11618" s="5" t="s">
        <v>12</v>
      </c>
      <c r="E11618" s="5" t="s">
        <v>3626</v>
      </c>
    </row>
    <row r="11619" spans="1:5" x14ac:dyDescent="0.25">
      <c r="A11619" s="5">
        <f>11611</f>
      </c>
      <c r="B11619" s="5" t="s">
        <v>10885</v>
      </c>
      <c r="C11619" s="5" t="s">
        <v>11</v>
      </c>
      <c r="D11619" s="5" t="s">
        <v>12</v>
      </c>
      <c r="E11619" s="5" t="s">
        <v>2614</v>
      </c>
    </row>
    <row r="11620" spans="1:5" x14ac:dyDescent="0.25">
      <c r="A11620" s="5">
        <f>11612</f>
      </c>
      <c r="B11620" s="5" t="s">
        <v>10886</v>
      </c>
      <c r="C11620" s="5" t="s">
        <v>11</v>
      </c>
      <c r="D11620" s="5" t="s">
        <v>12</v>
      </c>
      <c r="E11620" s="5" t="s">
        <v>2869</v>
      </c>
    </row>
    <row r="11621" spans="1:5" x14ac:dyDescent="0.25">
      <c r="A11621" s="5">
        <f>11613</f>
      </c>
      <c r="B11621" s="5" t="s">
        <v>10887</v>
      </c>
      <c r="C11621" s="5" t="s">
        <v>11</v>
      </c>
      <c r="D11621" s="5" t="s">
        <v>12</v>
      </c>
      <c r="E11621" s="5" t="s">
        <v>2819</v>
      </c>
    </row>
    <row r="11622" spans="1:5" x14ac:dyDescent="0.25">
      <c r="A11622" s="5">
        <f>11614</f>
      </c>
      <c r="B11622" s="5" t="s">
        <v>10888</v>
      </c>
      <c r="C11622" s="5" t="s">
        <v>11</v>
      </c>
      <c r="D11622" s="5" t="s">
        <v>12</v>
      </c>
      <c r="E11622" s="5" t="s">
        <v>10756</v>
      </c>
    </row>
    <row r="11623" spans="1:5" x14ac:dyDescent="0.25">
      <c r="A11623" s="5">
        <f>11615</f>
      </c>
      <c r="B11623" s="5" t="s">
        <v>10889</v>
      </c>
      <c r="C11623" s="5" t="s">
        <v>11</v>
      </c>
      <c r="D11623" s="5" t="s">
        <v>12</v>
      </c>
      <c r="E11623" s="5" t="s">
        <v>3563</v>
      </c>
    </row>
    <row r="11624" spans="1:5" x14ac:dyDescent="0.25">
      <c r="A11624" s="5">
        <f>11616</f>
      </c>
      <c r="B11624" s="5" t="s">
        <v>10890</v>
      </c>
      <c r="C11624" s="5" t="s">
        <v>11</v>
      </c>
      <c r="D11624" s="5" t="s">
        <v>12</v>
      </c>
      <c r="E11624" s="5" t="s">
        <v>9553</v>
      </c>
    </row>
    <row r="11625" spans="1:5" x14ac:dyDescent="0.25">
      <c r="A11625" s="5">
        <f>11617</f>
      </c>
      <c r="B11625" s="5" t="s">
        <v>10891</v>
      </c>
      <c r="C11625" s="5" t="s">
        <v>11</v>
      </c>
      <c r="D11625" s="5" t="s">
        <v>12</v>
      </c>
      <c r="E11625" s="5" t="s">
        <v>1040</v>
      </c>
    </row>
    <row r="11626" spans="1:5" x14ac:dyDescent="0.25">
      <c r="A11626" s="5">
        <f>11618</f>
      </c>
      <c r="B11626" s="5" t="s">
        <v>10892</v>
      </c>
      <c r="C11626" s="5" t="s">
        <v>11</v>
      </c>
      <c r="D11626" s="5" t="s">
        <v>12</v>
      </c>
      <c r="E11626" s="5" t="s">
        <v>4103</v>
      </c>
    </row>
    <row r="11627" spans="1:5" x14ac:dyDescent="0.25">
      <c r="A11627" s="5">
        <f>11619</f>
      </c>
      <c r="B11627" s="5" t="s">
        <v>10893</v>
      </c>
      <c r="C11627" s="5" t="s">
        <v>11</v>
      </c>
      <c r="D11627" s="5" t="s">
        <v>12</v>
      </c>
      <c r="E11627" s="5" t="s">
        <v>2329</v>
      </c>
    </row>
    <row r="11628" spans="1:5" x14ac:dyDescent="0.25">
      <c r="A11628" s="5">
        <f>11620</f>
      </c>
      <c r="B11628" s="5" t="s">
        <v>10894</v>
      </c>
      <c r="C11628" s="5" t="s">
        <v>11</v>
      </c>
      <c r="D11628" s="5" t="s">
        <v>12</v>
      </c>
      <c r="E11628" s="5" t="s">
        <v>2381</v>
      </c>
    </row>
    <row r="11629" spans="1:5" x14ac:dyDescent="0.25">
      <c r="A11629" s="5">
        <f>11621</f>
      </c>
      <c r="B11629" s="5" t="s">
        <v>10895</v>
      </c>
      <c r="C11629" s="5" t="s">
        <v>11</v>
      </c>
      <c r="D11629" s="5" t="s">
        <v>12</v>
      </c>
      <c r="E11629" s="5" t="s">
        <v>3565</v>
      </c>
    </row>
    <row r="11630" spans="1:5" x14ac:dyDescent="0.25">
      <c r="A11630" s="5">
        <f>11622</f>
      </c>
      <c r="B11630" s="5" t="s">
        <v>10896</v>
      </c>
      <c r="C11630" s="5" t="s">
        <v>11</v>
      </c>
      <c r="D11630" s="5" t="s">
        <v>12</v>
      </c>
      <c r="E11630" s="5" t="s">
        <v>10843</v>
      </c>
    </row>
    <row r="11631" spans="1:5" x14ac:dyDescent="0.25">
      <c r="A11631" s="5">
        <f>11623</f>
      </c>
      <c r="B11631" s="5" t="s">
        <v>10897</v>
      </c>
      <c r="C11631" s="5" t="s">
        <v>11</v>
      </c>
      <c r="D11631" s="5" t="s">
        <v>12</v>
      </c>
      <c r="E11631" s="5" t="s">
        <v>2816</v>
      </c>
    </row>
    <row r="11632" spans="1:5" x14ac:dyDescent="0.25">
      <c r="A11632" s="5">
        <f>11624</f>
      </c>
      <c r="B11632" s="5" t="s">
        <v>10898</v>
      </c>
      <c r="C11632" s="5" t="s">
        <v>11</v>
      </c>
      <c r="D11632" s="5" t="s">
        <v>12</v>
      </c>
      <c r="E11632" s="5" t="s">
        <v>2873</v>
      </c>
    </row>
    <row r="11633" spans="1:5" x14ac:dyDescent="0.25">
      <c r="A11633" s="5">
        <f>11625</f>
      </c>
      <c r="B11633" s="5" t="s">
        <v>10899</v>
      </c>
      <c r="C11633" s="5" t="s">
        <v>11</v>
      </c>
      <c r="D11633" s="5" t="s">
        <v>12</v>
      </c>
      <c r="E11633" s="5" t="s">
        <v>4072</v>
      </c>
    </row>
    <row r="11634" spans="1:5" x14ac:dyDescent="0.25">
      <c r="A11634" s="5">
        <f>11626</f>
      </c>
      <c r="B11634" s="5" t="s">
        <v>10900</v>
      </c>
      <c r="C11634" s="5" t="s">
        <v>11</v>
      </c>
      <c r="D11634" s="5" t="s">
        <v>12</v>
      </c>
      <c r="E11634" s="5" t="s">
        <v>885</v>
      </c>
    </row>
    <row r="11635" spans="1:5" x14ac:dyDescent="0.25">
      <c r="A11635" s="5">
        <f>11627</f>
      </c>
      <c r="B11635" s="5" t="s">
        <v>10901</v>
      </c>
      <c r="C11635" s="5" t="s">
        <v>11</v>
      </c>
      <c r="D11635" s="5" t="s">
        <v>12</v>
      </c>
      <c r="E11635" s="5" t="s">
        <v>4084</v>
      </c>
    </row>
    <row r="11636" spans="1:5" x14ac:dyDescent="0.25">
      <c r="A11636" s="5">
        <f>11628</f>
      </c>
      <c r="B11636" s="5" t="s">
        <v>10902</v>
      </c>
      <c r="C11636" s="5" t="s">
        <v>11</v>
      </c>
      <c r="D11636" s="5" t="s">
        <v>12</v>
      </c>
      <c r="E11636" s="5" t="s">
        <v>849</v>
      </c>
    </row>
    <row r="11637" spans="1:5" x14ac:dyDescent="0.25">
      <c r="A11637" s="5">
        <f>11629</f>
      </c>
      <c r="B11637" s="5" t="s">
        <v>10903</v>
      </c>
      <c r="C11637" s="5" t="s">
        <v>11</v>
      </c>
      <c r="D11637" s="5" t="s">
        <v>12</v>
      </c>
      <c r="E11637" s="5" t="s">
        <v>2316</v>
      </c>
    </row>
    <row r="11638" spans="1:5" x14ac:dyDescent="0.25">
      <c r="A11638" s="5">
        <f>11630</f>
      </c>
      <c r="B11638" s="5" t="s">
        <v>10904</v>
      </c>
      <c r="C11638" s="5" t="s">
        <v>11</v>
      </c>
      <c r="D11638" s="5" t="s">
        <v>12</v>
      </c>
      <c r="E11638" s="5" t="s">
        <v>2592</v>
      </c>
    </row>
    <row r="11639" spans="1:5" x14ac:dyDescent="0.25">
      <c r="A11639" s="5">
        <f>11631</f>
      </c>
      <c r="B11639" s="5" t="s">
        <v>10905</v>
      </c>
      <c r="C11639" s="5" t="s">
        <v>11</v>
      </c>
      <c r="D11639" s="5" t="s">
        <v>12</v>
      </c>
      <c r="E11639" s="5" t="s">
        <v>3549</v>
      </c>
    </row>
    <row r="11640" spans="1:5" x14ac:dyDescent="0.25">
      <c r="A11640" s="5">
        <f>11632</f>
      </c>
      <c r="B11640" s="5" t="s">
        <v>10906</v>
      </c>
      <c r="C11640" s="5" t="s">
        <v>11</v>
      </c>
      <c r="D11640" s="5" t="s">
        <v>12</v>
      </c>
      <c r="E11640" s="5" t="s">
        <v>3549</v>
      </c>
    </row>
    <row r="11641" spans="1:5" x14ac:dyDescent="0.25">
      <c r="A11641" s="5">
        <f>11633</f>
      </c>
      <c r="B11641" s="5" t="s">
        <v>10907</v>
      </c>
      <c r="C11641" s="5" t="s">
        <v>11</v>
      </c>
      <c r="D11641" s="5" t="s">
        <v>12</v>
      </c>
      <c r="E11641" s="5" t="s">
        <v>2381</v>
      </c>
    </row>
    <row r="11642" spans="1:5" x14ac:dyDescent="0.25">
      <c r="A11642" s="5">
        <f>11634</f>
      </c>
      <c r="B11642" s="5" t="s">
        <v>10908</v>
      </c>
      <c r="C11642" s="5" t="s">
        <v>11</v>
      </c>
      <c r="D11642" s="5" t="s">
        <v>12</v>
      </c>
      <c r="E11642" s="5" t="s">
        <v>3496</v>
      </c>
    </row>
    <row r="11643" spans="1:5" x14ac:dyDescent="0.25">
      <c r="A11643" s="5">
        <f>11635</f>
      </c>
      <c r="B11643" s="5" t="s">
        <v>10909</v>
      </c>
      <c r="C11643" s="5" t="s">
        <v>11</v>
      </c>
      <c r="D11643" s="5" t="s">
        <v>12</v>
      </c>
      <c r="E11643" s="5" t="s">
        <v>4105</v>
      </c>
    </row>
    <row r="11644" spans="1:5" x14ac:dyDescent="0.25">
      <c r="A11644" s="5">
        <f>11636</f>
      </c>
      <c r="B11644" s="5" t="s">
        <v>10910</v>
      </c>
      <c r="C11644" s="5" t="s">
        <v>11</v>
      </c>
      <c r="D11644" s="5" t="s">
        <v>12</v>
      </c>
      <c r="E11644" s="5" t="s">
        <v>3688</v>
      </c>
    </row>
    <row r="11645" spans="1:5" x14ac:dyDescent="0.25">
      <c r="A11645" s="5">
        <f>11637</f>
      </c>
      <c r="B11645" s="5" t="s">
        <v>10911</v>
      </c>
      <c r="C11645" s="5" t="s">
        <v>11</v>
      </c>
      <c r="D11645" s="5" t="s">
        <v>12</v>
      </c>
      <c r="E11645" s="5" t="s">
        <v>2316</v>
      </c>
    </row>
    <row r="11646" spans="1:5" x14ac:dyDescent="0.25">
      <c r="A11646" s="5">
        <f>11638</f>
      </c>
      <c r="B11646" s="5" t="s">
        <v>10912</v>
      </c>
      <c r="C11646" s="5" t="s">
        <v>11</v>
      </c>
      <c r="D11646" s="5" t="s">
        <v>12</v>
      </c>
      <c r="E11646" s="5" t="s">
        <v>1077</v>
      </c>
    </row>
    <row r="11647" spans="1:5" x14ac:dyDescent="0.25">
      <c r="A11647" s="5">
        <f>11639</f>
      </c>
      <c r="B11647" s="5" t="s">
        <v>10913</v>
      </c>
      <c r="C11647" s="5" t="s">
        <v>11</v>
      </c>
      <c r="D11647" s="5" t="s">
        <v>12</v>
      </c>
      <c r="E11647" s="5" t="s">
        <v>3697</v>
      </c>
    </row>
    <row r="11648" spans="1:5" x14ac:dyDescent="0.25">
      <c r="A11648" s="5">
        <f>11640</f>
      </c>
      <c r="B11648" s="5" t="s">
        <v>10914</v>
      </c>
      <c r="C11648" s="5" t="s">
        <v>11</v>
      </c>
      <c r="D11648" s="5" t="s">
        <v>12</v>
      </c>
      <c r="E11648" s="5" t="s">
        <v>3438</v>
      </c>
    </row>
    <row r="11649" spans="1:5" x14ac:dyDescent="0.25">
      <c r="A11649" s="5">
        <f>11641</f>
      </c>
      <c r="B11649" s="5" t="s">
        <v>10915</v>
      </c>
      <c r="C11649" s="5" t="s">
        <v>11</v>
      </c>
      <c r="D11649" s="5" t="s">
        <v>12</v>
      </c>
      <c r="E11649" s="5" t="s">
        <v>2665</v>
      </c>
    </row>
    <row r="11650" spans="1:5" x14ac:dyDescent="0.25">
      <c r="A11650" s="5">
        <f>11642</f>
      </c>
      <c r="B11650" s="5" t="s">
        <v>10916</v>
      </c>
      <c r="C11650" s="5" t="s">
        <v>11</v>
      </c>
      <c r="D11650" s="5" t="s">
        <v>12</v>
      </c>
      <c r="E11650" s="5" t="s">
        <v>3536</v>
      </c>
    </row>
    <row r="11651" spans="1:5" x14ac:dyDescent="0.25">
      <c r="A11651" s="5">
        <f>11643</f>
      </c>
      <c r="B11651" s="5" t="s">
        <v>10917</v>
      </c>
      <c r="C11651" s="5" t="s">
        <v>11</v>
      </c>
      <c r="D11651" s="5" t="s">
        <v>12</v>
      </c>
      <c r="E11651" s="5" t="s">
        <v>3378</v>
      </c>
    </row>
    <row r="11652" spans="1:5" x14ac:dyDescent="0.25">
      <c r="A11652" s="5">
        <f>11644</f>
      </c>
      <c r="B11652" s="5" t="s">
        <v>10918</v>
      </c>
      <c r="C11652" s="5" t="s">
        <v>11</v>
      </c>
      <c r="D11652" s="5" t="s">
        <v>12</v>
      </c>
      <c r="E11652" s="5" t="s">
        <v>3601</v>
      </c>
    </row>
    <row r="11653" spans="1:5" x14ac:dyDescent="0.25">
      <c r="A11653" s="5">
        <f>11645</f>
      </c>
      <c r="B11653" s="5" t="s">
        <v>10919</v>
      </c>
      <c r="C11653" s="5" t="s">
        <v>11</v>
      </c>
      <c r="D11653" s="5" t="s">
        <v>12</v>
      </c>
      <c r="E11653" s="5" t="s">
        <v>4103</v>
      </c>
    </row>
    <row r="11654" spans="1:5" x14ac:dyDescent="0.25">
      <c r="A11654" s="5">
        <f>11646</f>
      </c>
      <c r="B11654" s="5" t="s">
        <v>10920</v>
      </c>
      <c r="C11654" s="5" t="s">
        <v>11</v>
      </c>
      <c r="D11654" s="5" t="s">
        <v>12</v>
      </c>
      <c r="E11654" s="5" t="s">
        <v>3723</v>
      </c>
    </row>
    <row r="11655" spans="1:5" x14ac:dyDescent="0.25">
      <c r="A11655" s="5">
        <f>11647</f>
      </c>
      <c r="B11655" s="5" t="s">
        <v>10921</v>
      </c>
      <c r="C11655" s="5" t="s">
        <v>11</v>
      </c>
      <c r="D11655" s="5" t="s">
        <v>12</v>
      </c>
      <c r="E11655" s="5" t="s">
        <v>4289</v>
      </c>
    </row>
    <row r="11656" spans="1:5" x14ac:dyDescent="0.25">
      <c r="A11656" s="5">
        <f>11648</f>
      </c>
      <c r="B11656" s="5" t="s">
        <v>10922</v>
      </c>
      <c r="C11656" s="5" t="s">
        <v>11</v>
      </c>
      <c r="D11656" s="5" t="s">
        <v>12</v>
      </c>
      <c r="E11656" s="5" t="s">
        <v>2300</v>
      </c>
    </row>
    <row r="11657" spans="1:5" x14ac:dyDescent="0.25">
      <c r="A11657" s="5">
        <f>11649</f>
      </c>
      <c r="B11657" s="5" t="s">
        <v>10923</v>
      </c>
      <c r="C11657" s="5" t="s">
        <v>11</v>
      </c>
      <c r="D11657" s="5" t="s">
        <v>12</v>
      </c>
      <c r="E11657" s="5" t="s">
        <v>10618</v>
      </c>
    </row>
    <row r="11658" spans="1:5" x14ac:dyDescent="0.25">
      <c r="A11658" s="5">
        <f>11650</f>
      </c>
      <c r="B11658" s="5" t="s">
        <v>10924</v>
      </c>
      <c r="C11658" s="5" t="s">
        <v>11</v>
      </c>
      <c r="D11658" s="5" t="s">
        <v>12</v>
      </c>
      <c r="E11658" s="5" t="s">
        <v>957</v>
      </c>
    </row>
    <row r="11659" spans="1:5" x14ac:dyDescent="0.25">
      <c r="A11659" s="5">
        <f>11651</f>
      </c>
      <c r="B11659" s="5" t="s">
        <v>10925</v>
      </c>
      <c r="C11659" s="5" t="s">
        <v>11</v>
      </c>
      <c r="D11659" s="5" t="s">
        <v>12</v>
      </c>
      <c r="E11659" s="5" t="s">
        <v>2584</v>
      </c>
    </row>
    <row r="11660" spans="1:5" x14ac:dyDescent="0.25">
      <c r="A11660" s="5">
        <f>11652</f>
      </c>
      <c r="B11660" s="5" t="s">
        <v>10926</v>
      </c>
      <c r="C11660" s="5" t="s">
        <v>11</v>
      </c>
      <c r="D11660" s="5" t="s">
        <v>12</v>
      </c>
      <c r="E11660" s="5" t="s">
        <v>3860</v>
      </c>
    </row>
    <row r="11661" spans="1:5" x14ac:dyDescent="0.25">
      <c r="A11661" s="5">
        <f>11653</f>
      </c>
      <c r="B11661" s="5" t="s">
        <v>10927</v>
      </c>
      <c r="C11661" s="5" t="s">
        <v>11</v>
      </c>
      <c r="D11661" s="5" t="s">
        <v>12</v>
      </c>
      <c r="E11661" s="5" t="s">
        <v>2316</v>
      </c>
    </row>
    <row r="11662" spans="1:5" x14ac:dyDescent="0.25">
      <c r="A11662" s="5">
        <f>11654</f>
      </c>
      <c r="B11662" s="5" t="s">
        <v>10928</v>
      </c>
      <c r="C11662" s="5" t="s">
        <v>11</v>
      </c>
      <c r="D11662" s="5" t="s">
        <v>12</v>
      </c>
      <c r="E11662" s="5" t="s">
        <v>10705</v>
      </c>
    </row>
    <row r="11663" spans="1:5" x14ac:dyDescent="0.25">
      <c r="A11663" s="5">
        <f>11655</f>
      </c>
      <c r="B11663" s="5" t="s">
        <v>10929</v>
      </c>
      <c r="C11663" s="5" t="s">
        <v>11</v>
      </c>
      <c r="D11663" s="5" t="s">
        <v>12</v>
      </c>
      <c r="E11663" s="5" t="s">
        <v>996</v>
      </c>
    </row>
    <row r="11664" spans="1:5" x14ac:dyDescent="0.25">
      <c r="A11664" s="5">
        <f>11656</f>
      </c>
      <c r="B11664" s="5" t="s">
        <v>10930</v>
      </c>
      <c r="C11664" s="5" t="s">
        <v>11</v>
      </c>
      <c r="D11664" s="5" t="s">
        <v>12</v>
      </c>
      <c r="E11664" s="5" t="s">
        <v>2590</v>
      </c>
    </row>
    <row r="11665" spans="1:5" x14ac:dyDescent="0.25">
      <c r="A11665" s="5">
        <f>11657</f>
      </c>
      <c r="B11665" s="5" t="s">
        <v>10931</v>
      </c>
      <c r="C11665" s="5" t="s">
        <v>11</v>
      </c>
      <c r="D11665" s="5" t="s">
        <v>12</v>
      </c>
      <c r="E11665" s="5" t="s">
        <v>2610</v>
      </c>
    </row>
    <row r="11666" spans="1:5" x14ac:dyDescent="0.25">
      <c r="A11666" s="5">
        <f>11658</f>
      </c>
      <c r="B11666" s="5" t="s">
        <v>10932</v>
      </c>
      <c r="C11666" s="5" t="s">
        <v>11</v>
      </c>
      <c r="D11666" s="5" t="s">
        <v>12</v>
      </c>
      <c r="E11666" s="5" t="s">
        <v>9553</v>
      </c>
    </row>
    <row r="11667" spans="1:5" x14ac:dyDescent="0.25">
      <c r="A11667" s="5">
        <f>11659</f>
      </c>
      <c r="B11667" s="5" t="s">
        <v>10933</v>
      </c>
      <c r="C11667" s="5" t="s">
        <v>11</v>
      </c>
      <c r="D11667" s="5" t="s">
        <v>12</v>
      </c>
      <c r="E11667" s="5" t="s">
        <v>3875</v>
      </c>
    </row>
    <row r="11668" spans="1:5" x14ac:dyDescent="0.25">
      <c r="A11668" s="5">
        <f>11660</f>
      </c>
      <c r="B11668" s="5" t="s">
        <v>10934</v>
      </c>
      <c r="C11668" s="5" t="s">
        <v>11</v>
      </c>
      <c r="D11668" s="5" t="s">
        <v>12</v>
      </c>
      <c r="E11668" s="5" t="s">
        <v>4164</v>
      </c>
    </row>
    <row r="11669" spans="1:5" x14ac:dyDescent="0.25">
      <c r="A11669" s="5">
        <f>11661</f>
      </c>
      <c r="B11669" s="5" t="s">
        <v>10935</v>
      </c>
      <c r="C11669" s="5" t="s">
        <v>11</v>
      </c>
      <c r="D11669" s="5" t="s">
        <v>12</v>
      </c>
      <c r="E11669" s="5" t="s">
        <v>3927</v>
      </c>
    </row>
    <row r="11670" spans="1:5" x14ac:dyDescent="0.25">
      <c r="A11670" s="5">
        <f>11662</f>
      </c>
      <c r="B11670" s="5" t="s">
        <v>10936</v>
      </c>
      <c r="C11670" s="5" t="s">
        <v>11</v>
      </c>
      <c r="D11670" s="5" t="s">
        <v>12</v>
      </c>
      <c r="E11670" s="5" t="s">
        <v>1051</v>
      </c>
    </row>
    <row r="11671" spans="1:5" x14ac:dyDescent="0.25">
      <c r="A11671" s="5">
        <f>11663</f>
      </c>
      <c r="B11671" s="5" t="s">
        <v>10937</v>
      </c>
      <c r="C11671" s="5" t="s">
        <v>11</v>
      </c>
      <c r="D11671" s="5" t="s">
        <v>12</v>
      </c>
      <c r="E11671" s="5" t="s">
        <v>10618</v>
      </c>
    </row>
    <row r="11672" spans="1:5" x14ac:dyDescent="0.25">
      <c r="A11672" s="5">
        <f>11664</f>
      </c>
      <c r="B11672" s="5" t="s">
        <v>10938</v>
      </c>
      <c r="C11672" s="5" t="s">
        <v>11</v>
      </c>
      <c r="D11672" s="5" t="s">
        <v>12</v>
      </c>
      <c r="E11672" s="5" t="s">
        <v>3716</v>
      </c>
    </row>
    <row r="11673" spans="1:5" x14ac:dyDescent="0.25">
      <c r="A11673" s="5">
        <f>11665</f>
      </c>
      <c r="B11673" s="5" t="s">
        <v>10939</v>
      </c>
      <c r="C11673" s="5" t="s">
        <v>11</v>
      </c>
      <c r="D11673" s="5" t="s">
        <v>12</v>
      </c>
      <c r="E11673" s="5" t="s">
        <v>959</v>
      </c>
    </row>
    <row r="11674" spans="1:5" x14ac:dyDescent="0.25">
      <c r="A11674" s="5">
        <f>11666</f>
      </c>
      <c r="B11674" s="5" t="s">
        <v>10940</v>
      </c>
      <c r="C11674" s="5" t="s">
        <v>11</v>
      </c>
      <c r="D11674" s="5" t="s">
        <v>12</v>
      </c>
      <c r="E11674" s="5" t="s">
        <v>990</v>
      </c>
    </row>
    <row r="11675" spans="1:5" x14ac:dyDescent="0.25">
      <c r="A11675" s="5">
        <f>11667</f>
      </c>
      <c r="B11675" s="5" t="s">
        <v>10941</v>
      </c>
      <c r="C11675" s="5" t="s">
        <v>11</v>
      </c>
      <c r="D11675" s="5" t="s">
        <v>12</v>
      </c>
      <c r="E11675" s="5" t="s">
        <v>2675</v>
      </c>
    </row>
    <row r="11676" spans="1:5" x14ac:dyDescent="0.25">
      <c r="A11676" s="5">
        <f>11668</f>
      </c>
      <c r="B11676" s="5" t="s">
        <v>10942</v>
      </c>
      <c r="C11676" s="5" t="s">
        <v>11</v>
      </c>
      <c r="D11676" s="5" t="s">
        <v>12</v>
      </c>
      <c r="E11676" s="5" t="s">
        <v>3713</v>
      </c>
    </row>
    <row r="11677" spans="1:5" x14ac:dyDescent="0.25">
      <c r="A11677" s="5">
        <f>11669</f>
      </c>
      <c r="B11677" s="5" t="s">
        <v>10943</v>
      </c>
      <c r="C11677" s="5" t="s">
        <v>11</v>
      </c>
      <c r="D11677" s="5" t="s">
        <v>12</v>
      </c>
      <c r="E11677" s="5" t="s">
        <v>2586</v>
      </c>
    </row>
    <row r="11678" spans="1:5" x14ac:dyDescent="0.25">
      <c r="A11678" s="5">
        <f>11670</f>
      </c>
      <c r="B11678" s="5" t="s">
        <v>10944</v>
      </c>
      <c r="C11678" s="5" t="s">
        <v>11</v>
      </c>
      <c r="D11678" s="5" t="s">
        <v>12</v>
      </c>
      <c r="E11678" s="5" t="s">
        <v>722</v>
      </c>
    </row>
    <row r="11679" spans="1:5" x14ac:dyDescent="0.25">
      <c r="A11679" s="5">
        <f>11671</f>
      </c>
      <c r="B11679" s="5" t="s">
        <v>10945</v>
      </c>
      <c r="C11679" s="5" t="s">
        <v>11</v>
      </c>
      <c r="D11679" s="5" t="s">
        <v>12</v>
      </c>
      <c r="E11679" s="5" t="s">
        <v>4084</v>
      </c>
    </row>
    <row r="11680" spans="1:5" x14ac:dyDescent="0.25">
      <c r="A11680" s="5">
        <f>11672</f>
      </c>
      <c r="B11680" s="5" t="s">
        <v>10946</v>
      </c>
      <c r="C11680" s="5" t="s">
        <v>11</v>
      </c>
      <c r="D11680" s="5" t="s">
        <v>12</v>
      </c>
      <c r="E11680" s="5" t="s">
        <v>2616</v>
      </c>
    </row>
    <row r="11681" spans="1:5" x14ac:dyDescent="0.25">
      <c r="A11681" s="5">
        <f>11673</f>
      </c>
      <c r="B11681" s="5" t="s">
        <v>10947</v>
      </c>
      <c r="C11681" s="5" t="s">
        <v>11</v>
      </c>
      <c r="D11681" s="5" t="s">
        <v>12</v>
      </c>
      <c r="E11681" s="5" t="s">
        <v>3927</v>
      </c>
    </row>
    <row r="11682" spans="1:5" x14ac:dyDescent="0.25">
      <c r="A11682" s="5">
        <f>11674</f>
      </c>
      <c r="B11682" s="5" t="s">
        <v>10948</v>
      </c>
      <c r="C11682" s="5" t="s">
        <v>11</v>
      </c>
      <c r="D11682" s="5" t="s">
        <v>12</v>
      </c>
      <c r="E11682" s="5" t="s">
        <v>3869</v>
      </c>
    </row>
    <row r="11683" spans="1:5" x14ac:dyDescent="0.25">
      <c r="A11683" s="5">
        <f>11675</f>
      </c>
      <c r="B11683" s="5" t="s">
        <v>10949</v>
      </c>
      <c r="C11683" s="5" t="s">
        <v>11</v>
      </c>
      <c r="D11683" s="5" t="s">
        <v>12</v>
      </c>
      <c r="E11683" s="5" t="s">
        <v>3869</v>
      </c>
    </row>
    <row r="11684" spans="1:5" x14ac:dyDescent="0.25">
      <c r="A11684" s="5">
        <f>11676</f>
      </c>
      <c r="B11684" s="5" t="s">
        <v>10950</v>
      </c>
      <c r="C11684" s="5" t="s">
        <v>11</v>
      </c>
      <c r="D11684" s="5" t="s">
        <v>12</v>
      </c>
      <c r="E11684" s="5" t="s">
        <v>2596</v>
      </c>
    </row>
    <row r="11685" spans="1:5" x14ac:dyDescent="0.25">
      <c r="A11685" s="5">
        <f>11677</f>
      </c>
      <c r="B11685" s="5" t="s">
        <v>10951</v>
      </c>
      <c r="C11685" s="5" t="s">
        <v>11</v>
      </c>
      <c r="D11685" s="5" t="s">
        <v>12</v>
      </c>
      <c r="E11685" s="5" t="s">
        <v>2592</v>
      </c>
    </row>
    <row r="11686" spans="1:5" x14ac:dyDescent="0.25">
      <c r="A11686" s="5">
        <f>11678</f>
      </c>
      <c r="B11686" s="5" t="s">
        <v>10952</v>
      </c>
      <c r="C11686" s="5" t="s">
        <v>11</v>
      </c>
      <c r="D11686" s="5" t="s">
        <v>12</v>
      </c>
      <c r="E11686" s="5" t="s">
        <v>2343</v>
      </c>
    </row>
    <row r="11687" spans="1:5" x14ac:dyDescent="0.25">
      <c r="A11687" s="5">
        <f>11679</f>
      </c>
      <c r="B11687" s="5" t="s">
        <v>10953</v>
      </c>
      <c r="C11687" s="5" t="s">
        <v>11</v>
      </c>
      <c r="D11687" s="5" t="s">
        <v>12</v>
      </c>
      <c r="E11687" s="5" t="s">
        <v>2304</v>
      </c>
    </row>
    <row r="11688" spans="1:5" x14ac:dyDescent="0.25">
      <c r="A11688" s="5">
        <f>11680</f>
      </c>
      <c r="B11688" s="5" t="s">
        <v>10954</v>
      </c>
      <c r="C11688" s="5" t="s">
        <v>11</v>
      </c>
      <c r="D11688" s="5" t="s">
        <v>12</v>
      </c>
      <c r="E11688" s="5" t="s">
        <v>1028</v>
      </c>
    </row>
    <row r="11689" spans="1:5" x14ac:dyDescent="0.25">
      <c r="A11689" s="5">
        <f>11681</f>
      </c>
      <c r="B11689" s="5" t="s">
        <v>10955</v>
      </c>
      <c r="C11689" s="5" t="s">
        <v>11</v>
      </c>
      <c r="D11689" s="5" t="s">
        <v>12</v>
      </c>
      <c r="E11689" s="5" t="s">
        <v>2259</v>
      </c>
    </row>
    <row r="11690" spans="1:5" x14ac:dyDescent="0.25">
      <c r="A11690" s="5">
        <f>11682</f>
      </c>
      <c r="B11690" s="5" t="s">
        <v>10956</v>
      </c>
      <c r="C11690" s="5" t="s">
        <v>11</v>
      </c>
      <c r="D11690" s="5" t="s">
        <v>12</v>
      </c>
      <c r="E11690" s="5" t="s">
        <v>734</v>
      </c>
    </row>
    <row r="11691" spans="1:5" x14ac:dyDescent="0.25">
      <c r="A11691" s="5">
        <f>11683</f>
      </c>
      <c r="B11691" s="5" t="s">
        <v>10957</v>
      </c>
      <c r="C11691" s="5" t="s">
        <v>11</v>
      </c>
      <c r="D11691" s="5" t="s">
        <v>12</v>
      </c>
      <c r="E11691" s="5" t="s">
        <v>2634</v>
      </c>
    </row>
    <row r="11692" spans="1:5" x14ac:dyDescent="0.25">
      <c r="A11692" s="5">
        <f>11684</f>
      </c>
      <c r="B11692" s="5" t="s">
        <v>10958</v>
      </c>
      <c r="C11692" s="5" t="s">
        <v>11</v>
      </c>
      <c r="D11692" s="5" t="s">
        <v>12</v>
      </c>
      <c r="E11692" s="5" t="s">
        <v>2639</v>
      </c>
    </row>
    <row r="11693" spans="1:5" x14ac:dyDescent="0.25">
      <c r="A11693" s="5">
        <f>11685</f>
      </c>
      <c r="B11693" s="5" t="s">
        <v>10959</v>
      </c>
      <c r="C11693" s="5" t="s">
        <v>11</v>
      </c>
      <c r="D11693" s="5" t="s">
        <v>12</v>
      </c>
      <c r="E11693" s="5" t="s">
        <v>3716</v>
      </c>
    </row>
    <row r="11694" spans="1:5" x14ac:dyDescent="0.25">
      <c r="A11694" s="5">
        <f>11686</f>
      </c>
      <c r="B11694" s="5" t="s">
        <v>10960</v>
      </c>
      <c r="C11694" s="5" t="s">
        <v>11</v>
      </c>
      <c r="D11694" s="5" t="s">
        <v>12</v>
      </c>
      <c r="E11694" s="5" t="s">
        <v>775</v>
      </c>
    </row>
    <row r="11695" spans="1:5" x14ac:dyDescent="0.25">
      <c r="A11695" s="5">
        <f>11687</f>
      </c>
      <c r="B11695" s="5" t="s">
        <v>10961</v>
      </c>
      <c r="C11695" s="5" t="s">
        <v>11</v>
      </c>
      <c r="D11695" s="5" t="s">
        <v>12</v>
      </c>
      <c r="E11695" s="5" t="s">
        <v>2304</v>
      </c>
    </row>
    <row r="11696" spans="1:5" x14ac:dyDescent="0.25">
      <c r="A11696" s="5">
        <f>11688</f>
      </c>
      <c r="B11696" s="5" t="s">
        <v>10962</v>
      </c>
      <c r="C11696" s="5" t="s">
        <v>11</v>
      </c>
      <c r="D11696" s="5" t="s">
        <v>12</v>
      </c>
      <c r="E11696" s="5" t="s">
        <v>10660</v>
      </c>
    </row>
    <row r="11697" spans="1:5" x14ac:dyDescent="0.25">
      <c r="A11697" s="5">
        <f>11689</f>
      </c>
      <c r="B11697" s="5" t="s">
        <v>10963</v>
      </c>
      <c r="C11697" s="5" t="s">
        <v>11</v>
      </c>
      <c r="D11697" s="5" t="s">
        <v>12</v>
      </c>
      <c r="E11697" s="5" t="s">
        <v>4084</v>
      </c>
    </row>
    <row r="11698" spans="1:5" x14ac:dyDescent="0.25">
      <c r="A11698" s="5">
        <f>11690</f>
      </c>
      <c r="B11698" s="5" t="s">
        <v>10964</v>
      </c>
      <c r="C11698" s="5" t="s">
        <v>11</v>
      </c>
      <c r="D11698" s="5" t="s">
        <v>12</v>
      </c>
      <c r="E11698" s="5" t="s">
        <v>1020</v>
      </c>
    </row>
    <row r="11699" spans="1:5" x14ac:dyDescent="0.25">
      <c r="A11699" s="5">
        <f>11691</f>
      </c>
      <c r="B11699" s="5" t="s">
        <v>10965</v>
      </c>
      <c r="C11699" s="5" t="s">
        <v>11</v>
      </c>
      <c r="D11699" s="5" t="s">
        <v>12</v>
      </c>
      <c r="E11699" s="5" t="s">
        <v>2829</v>
      </c>
    </row>
    <row r="11700" spans="1:5" x14ac:dyDescent="0.25">
      <c r="A11700" s="5">
        <f>11692</f>
      </c>
      <c r="B11700" s="5" t="s">
        <v>10966</v>
      </c>
      <c r="C11700" s="5" t="s">
        <v>11</v>
      </c>
      <c r="D11700" s="5" t="s">
        <v>12</v>
      </c>
      <c r="E11700" s="5" t="s">
        <v>3488</v>
      </c>
    </row>
    <row r="11701" spans="1:5" x14ac:dyDescent="0.25">
      <c r="A11701" s="5">
        <f>11693</f>
      </c>
      <c r="B11701" s="5" t="s">
        <v>10967</v>
      </c>
      <c r="C11701" s="5" t="s">
        <v>11</v>
      </c>
      <c r="D11701" s="5" t="s">
        <v>12</v>
      </c>
      <c r="E11701" s="5" t="s">
        <v>2590</v>
      </c>
    </row>
    <row r="11702" spans="1:5" x14ac:dyDescent="0.25">
      <c r="A11702" s="5">
        <f>11694</f>
      </c>
      <c r="B11702" s="5" t="s">
        <v>10968</v>
      </c>
      <c r="C11702" s="5" t="s">
        <v>11</v>
      </c>
      <c r="D11702" s="5" t="s">
        <v>12</v>
      </c>
      <c r="E11702" s="5" t="s">
        <v>3367</v>
      </c>
    </row>
    <row r="11703" spans="1:5" x14ac:dyDescent="0.25">
      <c r="A11703" s="5">
        <f>11695</f>
      </c>
      <c r="B11703" s="5" t="s">
        <v>10969</v>
      </c>
      <c r="C11703" s="5" t="s">
        <v>11</v>
      </c>
      <c r="D11703" s="5" t="s">
        <v>12</v>
      </c>
      <c r="E11703" s="5" t="s">
        <v>2821</v>
      </c>
    </row>
    <row r="11704" spans="1:5" x14ac:dyDescent="0.25">
      <c r="A11704" s="5">
        <f>11696</f>
      </c>
      <c r="B11704" s="5" t="s">
        <v>10970</v>
      </c>
      <c r="C11704" s="5" t="s">
        <v>11</v>
      </c>
      <c r="D11704" s="5" t="s">
        <v>12</v>
      </c>
      <c r="E11704" s="5" t="s">
        <v>882</v>
      </c>
    </row>
    <row r="11705" spans="1:5" x14ac:dyDescent="0.25">
      <c r="A11705" s="5">
        <f>11697</f>
      </c>
      <c r="B11705" s="5" t="s">
        <v>10971</v>
      </c>
      <c r="C11705" s="5" t="s">
        <v>11</v>
      </c>
      <c r="D11705" s="5" t="s">
        <v>12</v>
      </c>
      <c r="E11705" s="5" t="s">
        <v>938</v>
      </c>
    </row>
    <row r="11706" spans="1:5" x14ac:dyDescent="0.25">
      <c r="A11706" s="5">
        <f>11698</f>
      </c>
      <c r="B11706" s="5" t="s">
        <v>10972</v>
      </c>
      <c r="C11706" s="5" t="s">
        <v>11</v>
      </c>
      <c r="D11706" s="5" t="s">
        <v>12</v>
      </c>
      <c r="E11706" s="5" t="s">
        <v>826</v>
      </c>
    </row>
    <row r="11707" spans="1:5" x14ac:dyDescent="0.25">
      <c r="A11707" s="5">
        <f>11699</f>
      </c>
      <c r="B11707" s="5" t="s">
        <v>10973</v>
      </c>
      <c r="C11707" s="5" t="s">
        <v>11</v>
      </c>
      <c r="D11707" s="5" t="s">
        <v>12</v>
      </c>
      <c r="E11707" s="5" t="s">
        <v>2826</v>
      </c>
    </row>
    <row r="11708" spans="1:5" x14ac:dyDescent="0.25">
      <c r="A11708" s="5">
        <f>11700</f>
      </c>
      <c r="B11708" s="5" t="s">
        <v>10974</v>
      </c>
      <c r="C11708" s="5" t="s">
        <v>11</v>
      </c>
      <c r="D11708" s="5" t="s">
        <v>12</v>
      </c>
      <c r="E11708" s="5" t="s">
        <v>10739</v>
      </c>
    </row>
    <row r="11709" spans="1:5" x14ac:dyDescent="0.25">
      <c r="A11709" s="5">
        <f>11701</f>
      </c>
      <c r="B11709" s="5" t="s">
        <v>10975</v>
      </c>
      <c r="C11709" s="5" t="s">
        <v>11</v>
      </c>
      <c r="D11709" s="5" t="s">
        <v>12</v>
      </c>
      <c r="E11709" s="5" t="s">
        <v>728</v>
      </c>
    </row>
    <row r="11710" spans="1:5" x14ac:dyDescent="0.25">
      <c r="A11710" s="5">
        <f>11702</f>
      </c>
      <c r="B11710" s="5" t="s">
        <v>10976</v>
      </c>
      <c r="C11710" s="5" t="s">
        <v>11</v>
      </c>
      <c r="D11710" s="5" t="s">
        <v>12</v>
      </c>
      <c r="E11710" s="5" t="s">
        <v>835</v>
      </c>
    </row>
    <row r="11711" spans="1:5" x14ac:dyDescent="0.25">
      <c r="A11711" s="5">
        <f>11703</f>
      </c>
      <c r="B11711" s="5" t="s">
        <v>10977</v>
      </c>
      <c r="C11711" s="5" t="s">
        <v>11</v>
      </c>
      <c r="D11711" s="5" t="s">
        <v>12</v>
      </c>
      <c r="E11711" s="5" t="s">
        <v>2259</v>
      </c>
    </row>
    <row r="11712" spans="1:5" x14ac:dyDescent="0.25">
      <c r="A11712" s="5">
        <f>11704</f>
      </c>
      <c r="B11712" s="5" t="s">
        <v>10978</v>
      </c>
      <c r="C11712" s="5" t="s">
        <v>11</v>
      </c>
      <c r="D11712" s="5" t="s">
        <v>12</v>
      </c>
      <c r="E11712" s="5" t="s">
        <v>2869</v>
      </c>
    </row>
    <row r="11713" spans="1:5" x14ac:dyDescent="0.25">
      <c r="A11713" s="5">
        <f>11705</f>
      </c>
      <c r="B11713" s="5" t="s">
        <v>10979</v>
      </c>
      <c r="C11713" s="5" t="s">
        <v>11</v>
      </c>
      <c r="D11713" s="5" t="s">
        <v>12</v>
      </c>
      <c r="E11713" s="5" t="s">
        <v>3518</v>
      </c>
    </row>
    <row r="11714" spans="1:5" x14ac:dyDescent="0.25">
      <c r="A11714" s="5">
        <f>11706</f>
      </c>
      <c r="B11714" s="5" t="s">
        <v>10980</v>
      </c>
      <c r="C11714" s="5" t="s">
        <v>11</v>
      </c>
      <c r="D11714" s="5" t="s">
        <v>12</v>
      </c>
      <c r="E11714" s="5" t="s">
        <v>4018</v>
      </c>
    </row>
    <row r="11715" spans="1:5" x14ac:dyDescent="0.25">
      <c r="A11715" s="5">
        <f>11707</f>
      </c>
      <c r="B11715" s="5" t="s">
        <v>10981</v>
      </c>
      <c r="C11715" s="5" t="s">
        <v>11</v>
      </c>
      <c r="D11715" s="5" t="s">
        <v>12</v>
      </c>
      <c r="E11715" s="5" t="s">
        <v>927</v>
      </c>
    </row>
    <row r="11716" spans="1:5" x14ac:dyDescent="0.25">
      <c r="A11716" s="5">
        <f>11708</f>
      </c>
      <c r="B11716" s="5" t="s">
        <v>10982</v>
      </c>
      <c r="C11716" s="5" t="s">
        <v>11</v>
      </c>
      <c r="D11716" s="5" t="s">
        <v>12</v>
      </c>
      <c r="E11716" s="5" t="s">
        <v>2648</v>
      </c>
    </row>
    <row r="11717" spans="1:5" x14ac:dyDescent="0.25">
      <c r="A11717" s="5">
        <f>11709</f>
      </c>
      <c r="B11717" s="5" t="s">
        <v>10983</v>
      </c>
      <c r="C11717" s="5" t="s">
        <v>11</v>
      </c>
      <c r="D11717" s="5" t="s">
        <v>12</v>
      </c>
      <c r="E11717" s="5" t="s">
        <v>3559</v>
      </c>
    </row>
    <row r="11718" spans="1:5" x14ac:dyDescent="0.25">
      <c r="A11718" s="5">
        <f>11710</f>
      </c>
      <c r="B11718" s="5" t="s">
        <v>10984</v>
      </c>
      <c r="C11718" s="5" t="s">
        <v>11</v>
      </c>
      <c r="D11718" s="5" t="s">
        <v>12</v>
      </c>
      <c r="E11718" s="5" t="s">
        <v>2293</v>
      </c>
    </row>
    <row r="11719" spans="1:5" x14ac:dyDescent="0.25">
      <c r="A11719" s="5">
        <f>11711</f>
      </c>
      <c r="B11719" s="5" t="s">
        <v>10985</v>
      </c>
      <c r="C11719" s="5" t="s">
        <v>11</v>
      </c>
      <c r="D11719" s="5" t="s">
        <v>12</v>
      </c>
      <c r="E11719" s="5" t="s">
        <v>1034</v>
      </c>
    </row>
    <row r="11720" spans="1:5" x14ac:dyDescent="0.25">
      <c r="A11720" s="5">
        <f>11712</f>
      </c>
      <c r="B11720" s="5" t="s">
        <v>10986</v>
      </c>
      <c r="C11720" s="5" t="s">
        <v>11</v>
      </c>
      <c r="D11720" s="5" t="s">
        <v>12</v>
      </c>
      <c r="E11720" s="5" t="s">
        <v>2265</v>
      </c>
    </row>
    <row r="11721" spans="1:5" x14ac:dyDescent="0.25">
      <c r="A11721" s="5">
        <f>11713</f>
      </c>
      <c r="B11721" s="5" t="s">
        <v>10987</v>
      </c>
      <c r="C11721" s="5" t="s">
        <v>11</v>
      </c>
      <c r="D11721" s="5" t="s">
        <v>12</v>
      </c>
      <c r="E11721" s="5" t="s">
        <v>869</v>
      </c>
    </row>
    <row r="11722" spans="1:5" x14ac:dyDescent="0.25">
      <c r="A11722" s="5">
        <f>11714</f>
      </c>
      <c r="B11722" s="5" t="s">
        <v>10988</v>
      </c>
      <c r="C11722" s="5" t="s">
        <v>11</v>
      </c>
      <c r="D11722" s="5" t="s">
        <v>12</v>
      </c>
      <c r="E11722" s="5" t="s">
        <v>3860</v>
      </c>
    </row>
    <row r="11723" spans="1:5" x14ac:dyDescent="0.25">
      <c r="A11723" s="5">
        <f>11715</f>
      </c>
      <c r="B11723" s="5" t="s">
        <v>10989</v>
      </c>
      <c r="C11723" s="5" t="s">
        <v>11</v>
      </c>
      <c r="D11723" s="5" t="s">
        <v>12</v>
      </c>
      <c r="E11723" s="5" t="s">
        <v>1030</v>
      </c>
    </row>
    <row r="11724" spans="1:5" x14ac:dyDescent="0.25">
      <c r="A11724" s="5">
        <f>11716</f>
      </c>
      <c r="B11724" s="5" t="s">
        <v>10990</v>
      </c>
      <c r="C11724" s="5" t="s">
        <v>11</v>
      </c>
      <c r="D11724" s="5" t="s">
        <v>12</v>
      </c>
      <c r="E11724" s="5" t="s">
        <v>3767</v>
      </c>
    </row>
    <row r="11725" spans="1:5" x14ac:dyDescent="0.25">
      <c r="A11725" s="5">
        <f>11717</f>
      </c>
      <c r="B11725" s="5" t="s">
        <v>10991</v>
      </c>
      <c r="C11725" s="5" t="s">
        <v>11</v>
      </c>
      <c r="D11725" s="5" t="s">
        <v>12</v>
      </c>
      <c r="E11725" s="5" t="s">
        <v>3571</v>
      </c>
    </row>
    <row r="11726" spans="1:5" x14ac:dyDescent="0.25">
      <c r="A11726" s="5">
        <f>11718</f>
      </c>
      <c r="B11726" s="5" t="s">
        <v>10992</v>
      </c>
      <c r="C11726" s="5" t="s">
        <v>11</v>
      </c>
      <c r="D11726" s="5" t="s">
        <v>12</v>
      </c>
      <c r="E11726" s="5" t="s">
        <v>9521</v>
      </c>
    </row>
    <row r="11727" spans="1:5" x14ac:dyDescent="0.25">
      <c r="A11727" s="5">
        <f>11719</f>
      </c>
      <c r="B11727" s="5" t="s">
        <v>10993</v>
      </c>
      <c r="C11727" s="5" t="s">
        <v>11</v>
      </c>
      <c r="D11727" s="5" t="s">
        <v>12</v>
      </c>
      <c r="E11727" s="5" t="s">
        <v>3500</v>
      </c>
    </row>
    <row r="11728" spans="1:5" x14ac:dyDescent="0.25">
      <c r="A11728" s="5">
        <f>11720</f>
      </c>
      <c r="B11728" s="5" t="s">
        <v>10994</v>
      </c>
      <c r="C11728" s="5" t="s">
        <v>11</v>
      </c>
      <c r="D11728" s="5" t="s">
        <v>12</v>
      </c>
      <c r="E11728" s="5" t="s">
        <v>3674</v>
      </c>
    </row>
    <row r="11729" spans="1:5" x14ac:dyDescent="0.25">
      <c r="A11729" s="5">
        <f>11721</f>
      </c>
      <c r="B11729" s="5" t="s">
        <v>10995</v>
      </c>
      <c r="C11729" s="5" t="s">
        <v>11</v>
      </c>
      <c r="D11729" s="5" t="s">
        <v>12</v>
      </c>
      <c r="E11729" s="5" t="s">
        <v>885</v>
      </c>
    </row>
    <row r="11730" spans="1:5" x14ac:dyDescent="0.25">
      <c r="A11730" s="5">
        <f>11722</f>
      </c>
      <c r="B11730" s="5" t="s">
        <v>10996</v>
      </c>
      <c r="C11730" s="5" t="s">
        <v>11</v>
      </c>
      <c r="D11730" s="5" t="s">
        <v>12</v>
      </c>
      <c r="E11730" s="5" t="s">
        <v>10618</v>
      </c>
    </row>
    <row r="11731" spans="1:5" x14ac:dyDescent="0.25">
      <c r="A11731" s="5">
        <f>11723</f>
      </c>
      <c r="B11731" s="5" t="s">
        <v>10997</v>
      </c>
      <c r="C11731" s="5" t="s">
        <v>11</v>
      </c>
      <c r="D11731" s="5" t="s">
        <v>12</v>
      </c>
      <c r="E11731" s="5" t="s">
        <v>4075</v>
      </c>
    </row>
    <row r="11732" spans="1:5" x14ac:dyDescent="0.25">
      <c r="A11732" s="5">
        <f>11724</f>
      </c>
      <c r="B11732" s="5" t="s">
        <v>10998</v>
      </c>
      <c r="C11732" s="5" t="s">
        <v>11</v>
      </c>
      <c r="D11732" s="5" t="s">
        <v>12</v>
      </c>
      <c r="E11732" s="5" t="s">
        <v>885</v>
      </c>
    </row>
    <row r="11733" spans="1:5" x14ac:dyDescent="0.25">
      <c r="A11733" s="5">
        <f>11725</f>
      </c>
      <c r="B11733" s="5" t="s">
        <v>10999</v>
      </c>
      <c r="C11733" s="5" t="s">
        <v>11</v>
      </c>
      <c r="D11733" s="5" t="s">
        <v>12</v>
      </c>
      <c r="E11733" s="5" t="s">
        <v>875</v>
      </c>
    </row>
    <row r="11734" spans="1:5" x14ac:dyDescent="0.25">
      <c r="A11734" s="5">
        <f>11726</f>
      </c>
      <c r="B11734" s="5" t="s">
        <v>11000</v>
      </c>
      <c r="C11734" s="5" t="s">
        <v>11</v>
      </c>
      <c r="D11734" s="5" t="s">
        <v>12</v>
      </c>
      <c r="E11734" s="5" t="s">
        <v>2402</v>
      </c>
    </row>
    <row r="11735" spans="1:5" x14ac:dyDescent="0.25">
      <c r="A11735" s="5">
        <f>11727</f>
      </c>
      <c r="B11735" s="5" t="s">
        <v>11001</v>
      </c>
      <c r="C11735" s="5" t="s">
        <v>11</v>
      </c>
      <c r="D11735" s="5" t="s">
        <v>12</v>
      </c>
      <c r="E11735" s="5" t="s">
        <v>2412</v>
      </c>
    </row>
    <row r="11736" spans="1:5" x14ac:dyDescent="0.25">
      <c r="A11736" s="5">
        <f>11728</f>
      </c>
      <c r="B11736" s="5" t="s">
        <v>11002</v>
      </c>
      <c r="C11736" s="5" t="s">
        <v>11</v>
      </c>
      <c r="D11736" s="5" t="s">
        <v>12</v>
      </c>
      <c r="E11736" s="5" t="s">
        <v>3686</v>
      </c>
    </row>
    <row r="11737" spans="1:5" x14ac:dyDescent="0.25">
      <c r="A11737" s="5">
        <f>11729</f>
      </c>
      <c r="B11737" s="5" t="s">
        <v>11003</v>
      </c>
      <c r="C11737" s="5" t="s">
        <v>11</v>
      </c>
      <c r="D11737" s="5" t="s">
        <v>12</v>
      </c>
      <c r="E11737" s="5" t="s">
        <v>924</v>
      </c>
    </row>
    <row r="11738" spans="1:5" x14ac:dyDescent="0.25">
      <c r="A11738" s="5">
        <f>11730</f>
      </c>
      <c r="B11738" s="5" t="s">
        <v>11004</v>
      </c>
      <c r="C11738" s="5" t="s">
        <v>11</v>
      </c>
      <c r="D11738" s="5" t="s">
        <v>12</v>
      </c>
      <c r="E11738" s="5" t="s">
        <v>4103</v>
      </c>
    </row>
    <row r="11739" spans="1:5" x14ac:dyDescent="0.25">
      <c r="A11739" s="5">
        <f>11731</f>
      </c>
      <c r="B11739" s="5" t="s">
        <v>11005</v>
      </c>
      <c r="C11739" s="5" t="s">
        <v>11</v>
      </c>
      <c r="D11739" s="5" t="s">
        <v>12</v>
      </c>
      <c r="E11739" s="5" t="s">
        <v>853</v>
      </c>
    </row>
    <row r="11740" spans="1:5" x14ac:dyDescent="0.25">
      <c r="A11740" s="5">
        <f>11732</f>
      </c>
      <c r="B11740" s="5" t="s">
        <v>11006</v>
      </c>
      <c r="C11740" s="5" t="s">
        <v>11</v>
      </c>
      <c r="D11740" s="5" t="s">
        <v>12</v>
      </c>
      <c r="E11740" s="5" t="s">
        <v>1077</v>
      </c>
    </row>
    <row r="11741" spans="1:5" x14ac:dyDescent="0.25">
      <c r="A11741" s="5">
        <f>11733</f>
      </c>
      <c r="B11741" s="5" t="s">
        <v>11007</v>
      </c>
      <c r="C11741" s="5" t="s">
        <v>11</v>
      </c>
      <c r="D11741" s="5" t="s">
        <v>12</v>
      </c>
      <c r="E11741" s="5" t="s">
        <v>3922</v>
      </c>
    </row>
    <row r="11742" spans="1:5" x14ac:dyDescent="0.25">
      <c r="A11742" s="5">
        <f>11734</f>
      </c>
      <c r="B11742" s="5" t="s">
        <v>11008</v>
      </c>
      <c r="C11742" s="5" t="s">
        <v>11</v>
      </c>
      <c r="D11742" s="5" t="s">
        <v>12</v>
      </c>
      <c r="E11742" s="5" t="s">
        <v>828</v>
      </c>
    </row>
    <row r="11743" spans="1:5" x14ac:dyDescent="0.25">
      <c r="A11743" s="5">
        <f>11735</f>
      </c>
      <c r="B11743" s="5" t="s">
        <v>11009</v>
      </c>
      <c r="C11743" s="5" t="s">
        <v>11</v>
      </c>
      <c r="D11743" s="5" t="s">
        <v>12</v>
      </c>
      <c r="E11743" s="5" t="s">
        <v>2575</v>
      </c>
    </row>
    <row r="11744" spans="1:5" x14ac:dyDescent="0.25">
      <c r="A11744" s="5">
        <f>11736</f>
      </c>
      <c r="B11744" s="5" t="s">
        <v>11010</v>
      </c>
      <c r="C11744" s="5" t="s">
        <v>11</v>
      </c>
      <c r="D11744" s="5" t="s">
        <v>12</v>
      </c>
      <c r="E11744" s="5" t="s">
        <v>2668</v>
      </c>
    </row>
    <row r="11745" spans="1:5" x14ac:dyDescent="0.25">
      <c r="A11745" s="5">
        <f>11737</f>
      </c>
      <c r="B11745" s="5" t="s">
        <v>11011</v>
      </c>
      <c r="C11745" s="5" t="s">
        <v>11</v>
      </c>
      <c r="D11745" s="5" t="s">
        <v>12</v>
      </c>
      <c r="E11745" s="5" t="s">
        <v>722</v>
      </c>
    </row>
    <row r="11746" spans="1:5" x14ac:dyDescent="0.25">
      <c r="A11746" s="5">
        <f>11738</f>
      </c>
      <c r="B11746" s="5" t="s">
        <v>11012</v>
      </c>
      <c r="C11746" s="5" t="s">
        <v>11</v>
      </c>
      <c r="D11746" s="5" t="s">
        <v>12</v>
      </c>
      <c r="E11746" s="5" t="s">
        <v>3524</v>
      </c>
    </row>
    <row r="11747" spans="1:5" x14ac:dyDescent="0.25">
      <c r="A11747" s="5">
        <f>11739</f>
      </c>
      <c r="B11747" s="5" t="s">
        <v>11013</v>
      </c>
      <c r="C11747" s="5" t="s">
        <v>11</v>
      </c>
      <c r="D11747" s="5" t="s">
        <v>12</v>
      </c>
      <c r="E11747" s="5" t="s">
        <v>3490</v>
      </c>
    </row>
    <row r="11748" spans="1:5" x14ac:dyDescent="0.25">
      <c r="A11748" s="5">
        <f>11740</f>
      </c>
      <c r="B11748" s="5" t="s">
        <v>11014</v>
      </c>
      <c r="C11748" s="5" t="s">
        <v>11</v>
      </c>
      <c r="D11748" s="5" t="s">
        <v>12</v>
      </c>
      <c r="E11748" s="5" t="s">
        <v>2586</v>
      </c>
    </row>
    <row r="11749" spans="1:5" x14ac:dyDescent="0.25">
      <c r="A11749" s="5">
        <f>11741</f>
      </c>
      <c r="B11749" s="5" t="s">
        <v>11015</v>
      </c>
      <c r="C11749" s="5" t="s">
        <v>11</v>
      </c>
      <c r="D11749" s="5" t="s">
        <v>12</v>
      </c>
      <c r="E11749" s="5" t="s">
        <v>4289</v>
      </c>
    </row>
    <row r="11750" spans="1:5" x14ac:dyDescent="0.25">
      <c r="A11750" s="5">
        <f>11742</f>
      </c>
      <c r="B11750" s="5" t="s">
        <v>11016</v>
      </c>
      <c r="C11750" s="5" t="s">
        <v>11</v>
      </c>
      <c r="D11750" s="5" t="s">
        <v>12</v>
      </c>
      <c r="E11750" s="5" t="s">
        <v>3367</v>
      </c>
    </row>
    <row r="11751" spans="1:5" x14ac:dyDescent="0.25">
      <c r="A11751" s="5">
        <f>11743</f>
      </c>
      <c r="B11751" s="5" t="s">
        <v>11017</v>
      </c>
      <c r="C11751" s="5" t="s">
        <v>11</v>
      </c>
      <c r="D11751" s="5" t="s">
        <v>12</v>
      </c>
      <c r="E11751" s="5" t="s">
        <v>2249</v>
      </c>
    </row>
    <row r="11752" spans="1:5" x14ac:dyDescent="0.25">
      <c r="A11752" s="5">
        <f>11744</f>
      </c>
      <c r="B11752" s="5" t="s">
        <v>11018</v>
      </c>
      <c r="C11752" s="5" t="s">
        <v>11</v>
      </c>
      <c r="D11752" s="5" t="s">
        <v>12</v>
      </c>
      <c r="E11752" s="5" t="s">
        <v>770</v>
      </c>
    </row>
    <row r="11753" spans="1:5" x14ac:dyDescent="0.25">
      <c r="A11753" s="5">
        <f>11745</f>
      </c>
      <c r="B11753" s="5" t="s">
        <v>11019</v>
      </c>
      <c r="C11753" s="5" t="s">
        <v>11</v>
      </c>
      <c r="D11753" s="5" t="s">
        <v>12</v>
      </c>
      <c r="E11753" s="5" t="s">
        <v>2944</v>
      </c>
    </row>
    <row r="11754" spans="1:5" x14ac:dyDescent="0.25">
      <c r="A11754" s="5">
        <f>11746</f>
      </c>
      <c r="B11754" s="5" t="s">
        <v>11020</v>
      </c>
      <c r="C11754" s="5" t="s">
        <v>11</v>
      </c>
      <c r="D11754" s="5" t="s">
        <v>12</v>
      </c>
      <c r="E11754" s="5" t="s">
        <v>1020</v>
      </c>
    </row>
    <row r="11755" spans="1:5" x14ac:dyDescent="0.25">
      <c r="A11755" s="5">
        <f>11747</f>
      </c>
      <c r="B11755" s="5" t="s">
        <v>11021</v>
      </c>
      <c r="C11755" s="5" t="s">
        <v>11</v>
      </c>
      <c r="D11755" s="5" t="s">
        <v>12</v>
      </c>
      <c r="E11755" s="5" t="s">
        <v>1060</v>
      </c>
    </row>
    <row r="11756" spans="1:5" x14ac:dyDescent="0.25">
      <c r="A11756" s="5">
        <f>11748</f>
      </c>
      <c r="B11756" s="5" t="s">
        <v>11022</v>
      </c>
      <c r="C11756" s="5" t="s">
        <v>11</v>
      </c>
      <c r="D11756" s="5" t="s">
        <v>12</v>
      </c>
      <c r="E11756" s="5" t="s">
        <v>4051</v>
      </c>
    </row>
    <row r="11757" spans="1:5" x14ac:dyDescent="0.25">
      <c r="A11757" s="5">
        <f>11749</f>
      </c>
      <c r="B11757" s="5" t="s">
        <v>11023</v>
      </c>
      <c r="C11757" s="5" t="s">
        <v>11</v>
      </c>
      <c r="D11757" s="5" t="s">
        <v>12</v>
      </c>
      <c r="E11757" s="5" t="s">
        <v>722</v>
      </c>
    </row>
    <row r="11758" spans="1:5" x14ac:dyDescent="0.25">
      <c r="A11758" s="5">
        <f>11750</f>
      </c>
      <c r="B11758" s="5" t="s">
        <v>11024</v>
      </c>
      <c r="C11758" s="5" t="s">
        <v>11</v>
      </c>
      <c r="D11758" s="5" t="s">
        <v>12</v>
      </c>
      <c r="E11758" s="5" t="s">
        <v>1022</v>
      </c>
    </row>
    <row r="11759" spans="1:5" x14ac:dyDescent="0.25">
      <c r="A11759" s="5">
        <f>11751</f>
      </c>
      <c r="B11759" s="5" t="s">
        <v>11025</v>
      </c>
      <c r="C11759" s="5" t="s">
        <v>11</v>
      </c>
      <c r="D11759" s="5" t="s">
        <v>12</v>
      </c>
      <c r="E11759" s="5" t="s">
        <v>3869</v>
      </c>
    </row>
    <row r="11760" spans="1:5" x14ac:dyDescent="0.25">
      <c r="A11760" s="5">
        <f>11752</f>
      </c>
      <c r="B11760" s="5" t="s">
        <v>11026</v>
      </c>
      <c r="C11760" s="5" t="s">
        <v>11</v>
      </c>
      <c r="D11760" s="5" t="s">
        <v>12</v>
      </c>
      <c r="E11760" s="5" t="s">
        <v>4084</v>
      </c>
    </row>
    <row r="11761" spans="1:5" x14ac:dyDescent="0.25">
      <c r="A11761" s="5">
        <f>11753</f>
      </c>
      <c r="B11761" s="5" t="s">
        <v>11027</v>
      </c>
      <c r="C11761" s="5" t="s">
        <v>11</v>
      </c>
      <c r="D11761" s="5" t="s">
        <v>12</v>
      </c>
      <c r="E11761" s="5" t="s">
        <v>2616</v>
      </c>
    </row>
    <row r="11762" spans="1:5" x14ac:dyDescent="0.25">
      <c r="A11762" s="5">
        <f>11754</f>
      </c>
      <c r="B11762" s="5" t="s">
        <v>11028</v>
      </c>
      <c r="C11762" s="5" t="s">
        <v>11</v>
      </c>
      <c r="D11762" s="5" t="s">
        <v>12</v>
      </c>
      <c r="E11762" s="5" t="s">
        <v>9518</v>
      </c>
    </row>
    <row r="11763" spans="1:5" x14ac:dyDescent="0.25">
      <c r="A11763" s="5">
        <f>11755</f>
      </c>
      <c r="B11763" s="5" t="s">
        <v>11029</v>
      </c>
      <c r="C11763" s="5" t="s">
        <v>11</v>
      </c>
      <c r="D11763" s="5" t="s">
        <v>12</v>
      </c>
      <c r="E11763" s="5" t="s">
        <v>10541</v>
      </c>
    </row>
    <row r="11764" spans="1:5" x14ac:dyDescent="0.25">
      <c r="A11764" s="5">
        <f>11756</f>
      </c>
      <c r="B11764" s="5" t="s">
        <v>11030</v>
      </c>
      <c r="C11764" s="5" t="s">
        <v>11</v>
      </c>
      <c r="D11764" s="5" t="s">
        <v>12</v>
      </c>
      <c r="E11764" s="5" t="s">
        <v>2398</v>
      </c>
    </row>
    <row r="11765" spans="1:5" x14ac:dyDescent="0.25">
      <c r="A11765" s="5">
        <f>11757</f>
      </c>
      <c r="B11765" s="5" t="s">
        <v>11031</v>
      </c>
      <c r="C11765" s="5" t="s">
        <v>11</v>
      </c>
      <c r="D11765" s="5" t="s">
        <v>12</v>
      </c>
      <c r="E11765" s="5" t="s">
        <v>990</v>
      </c>
    </row>
    <row r="11766" spans="1:5" x14ac:dyDescent="0.25">
      <c r="A11766" s="5">
        <f>11758</f>
      </c>
      <c r="B11766" s="5" t="s">
        <v>11032</v>
      </c>
      <c r="C11766" s="5" t="s">
        <v>11</v>
      </c>
      <c r="D11766" s="5" t="s">
        <v>12</v>
      </c>
      <c r="E11766" s="5" t="s">
        <v>935</v>
      </c>
    </row>
    <row r="11767" spans="1:5" x14ac:dyDescent="0.25">
      <c r="A11767" s="5">
        <f>11759</f>
      </c>
      <c r="B11767" s="5" t="s">
        <v>11033</v>
      </c>
      <c r="C11767" s="5" t="s">
        <v>11</v>
      </c>
      <c r="D11767" s="5" t="s">
        <v>12</v>
      </c>
      <c r="E11767" s="5" t="s">
        <v>736</v>
      </c>
    </row>
    <row r="11768" spans="1:5" x14ac:dyDescent="0.25">
      <c r="A11768" s="5">
        <f>11760</f>
      </c>
      <c r="B11768" s="5" t="s">
        <v>11034</v>
      </c>
      <c r="C11768" s="5" t="s">
        <v>11</v>
      </c>
      <c r="D11768" s="5" t="s">
        <v>12</v>
      </c>
      <c r="E11768" s="5" t="s">
        <v>3774</v>
      </c>
    </row>
    <row r="11769" spans="1:5" x14ac:dyDescent="0.25">
      <c r="A11769" s="5">
        <f>11761</f>
      </c>
      <c r="B11769" s="5" t="s">
        <v>11035</v>
      </c>
      <c r="C11769" s="5" t="s">
        <v>11</v>
      </c>
      <c r="D11769" s="5" t="s">
        <v>12</v>
      </c>
      <c r="E11769" s="5" t="s">
        <v>772</v>
      </c>
    </row>
    <row r="11770" spans="1:5" x14ac:dyDescent="0.25">
      <c r="A11770" s="5">
        <f>11762</f>
      </c>
      <c r="B11770" s="5" t="s">
        <v>11036</v>
      </c>
      <c r="C11770" s="5" t="s">
        <v>11</v>
      </c>
      <c r="D11770" s="5" t="s">
        <v>12</v>
      </c>
      <c r="E11770" s="5" t="s">
        <v>975</v>
      </c>
    </row>
    <row r="11771" spans="1:5" x14ac:dyDescent="0.25">
      <c r="A11771" s="5">
        <f>11763</f>
      </c>
      <c r="B11771" s="5" t="s">
        <v>11037</v>
      </c>
      <c r="C11771" s="5" t="s">
        <v>11</v>
      </c>
      <c r="D11771" s="5" t="s">
        <v>12</v>
      </c>
      <c r="E11771" s="5" t="s">
        <v>3561</v>
      </c>
    </row>
    <row r="11772" spans="1:5" x14ac:dyDescent="0.25">
      <c r="A11772" s="5">
        <f>11764</f>
      </c>
      <c r="B11772" s="5" t="s">
        <v>11038</v>
      </c>
      <c r="C11772" s="5" t="s">
        <v>11</v>
      </c>
      <c r="D11772" s="5" t="s">
        <v>12</v>
      </c>
      <c r="E11772" s="5" t="s">
        <v>2648</v>
      </c>
    </row>
    <row r="11773" spans="1:5" x14ac:dyDescent="0.25">
      <c r="A11773" s="5">
        <f>11765</f>
      </c>
      <c r="B11773" s="5" t="s">
        <v>11039</v>
      </c>
      <c r="C11773" s="5" t="s">
        <v>11</v>
      </c>
      <c r="D11773" s="5" t="s">
        <v>12</v>
      </c>
      <c r="E11773" s="5" t="s">
        <v>9578</v>
      </c>
    </row>
    <row r="11774" spans="1:5" x14ac:dyDescent="0.25">
      <c r="A11774" s="5">
        <f>11766</f>
      </c>
      <c r="B11774" s="5" t="s">
        <v>11040</v>
      </c>
      <c r="C11774" s="5" t="s">
        <v>11</v>
      </c>
      <c r="D11774" s="5" t="s">
        <v>12</v>
      </c>
      <c r="E11774" s="5" t="s">
        <v>838</v>
      </c>
    </row>
    <row r="11775" spans="1:5" x14ac:dyDescent="0.25">
      <c r="A11775" s="5">
        <f>11767</f>
      </c>
      <c r="B11775" s="5" t="s">
        <v>11041</v>
      </c>
      <c r="C11775" s="5" t="s">
        <v>11</v>
      </c>
      <c r="D11775" s="5" t="s">
        <v>12</v>
      </c>
      <c r="E11775" s="5" t="s">
        <v>2412</v>
      </c>
    </row>
    <row r="11776" spans="1:5" x14ac:dyDescent="0.25">
      <c r="A11776" s="5">
        <f>11768</f>
      </c>
      <c r="B11776" s="5" t="s">
        <v>11042</v>
      </c>
      <c r="C11776" s="5" t="s">
        <v>11</v>
      </c>
      <c r="D11776" s="5" t="s">
        <v>12</v>
      </c>
      <c r="E11776" s="5" t="s">
        <v>3569</v>
      </c>
    </row>
    <row r="11777" spans="1:5" x14ac:dyDescent="0.25">
      <c r="A11777" s="5">
        <f>11769</f>
      </c>
      <c r="B11777" s="5" t="s">
        <v>11043</v>
      </c>
      <c r="C11777" s="5" t="s">
        <v>11</v>
      </c>
      <c r="D11777" s="5" t="s">
        <v>12</v>
      </c>
      <c r="E11777" s="5" t="s">
        <v>10622</v>
      </c>
    </row>
    <row r="11778" spans="1:5" x14ac:dyDescent="0.25">
      <c r="A11778" s="5">
        <f>11770</f>
      </c>
      <c r="B11778" s="5" t="s">
        <v>11044</v>
      </c>
      <c r="C11778" s="5" t="s">
        <v>11</v>
      </c>
      <c r="D11778" s="5" t="s">
        <v>12</v>
      </c>
      <c r="E11778" s="5" t="s">
        <v>2249</v>
      </c>
    </row>
    <row r="11779" spans="1:5" x14ac:dyDescent="0.25">
      <c r="A11779" s="5">
        <f>11771</f>
      </c>
      <c r="B11779" s="5" t="s">
        <v>11045</v>
      </c>
      <c r="C11779" s="5" t="s">
        <v>11</v>
      </c>
      <c r="D11779" s="5" t="s">
        <v>12</v>
      </c>
      <c r="E11779" s="5" t="s">
        <v>2876</v>
      </c>
    </row>
    <row r="11780" spans="1:5" x14ac:dyDescent="0.25">
      <c r="A11780" s="5">
        <f>11772</f>
      </c>
      <c r="B11780" s="5" t="s">
        <v>11046</v>
      </c>
      <c r="C11780" s="5" t="s">
        <v>11</v>
      </c>
      <c r="D11780" s="5" t="s">
        <v>12</v>
      </c>
      <c r="E11780" s="5" t="s">
        <v>3516</v>
      </c>
    </row>
    <row r="11781" spans="1:5" x14ac:dyDescent="0.25">
      <c r="A11781" s="5">
        <f>11773</f>
      </c>
      <c r="B11781" s="5" t="s">
        <v>11047</v>
      </c>
      <c r="C11781" s="5" t="s">
        <v>11</v>
      </c>
      <c r="D11781" s="5" t="s">
        <v>12</v>
      </c>
      <c r="E11781" s="5" t="s">
        <v>828</v>
      </c>
    </row>
    <row r="11782" spans="1:5" x14ac:dyDescent="0.25">
      <c r="A11782" s="5">
        <f>11774</f>
      </c>
      <c r="B11782" s="5" t="s">
        <v>11048</v>
      </c>
      <c r="C11782" s="5" t="s">
        <v>11</v>
      </c>
      <c r="D11782" s="5" t="s">
        <v>12</v>
      </c>
      <c r="E11782" s="5" t="s">
        <v>2610</v>
      </c>
    </row>
    <row r="11783" spans="1:5" x14ac:dyDescent="0.25">
      <c r="A11783" s="5">
        <f>11775</f>
      </c>
      <c r="B11783" s="5" t="s">
        <v>11049</v>
      </c>
      <c r="C11783" s="5" t="s">
        <v>11</v>
      </c>
      <c r="D11783" s="5" t="s">
        <v>12</v>
      </c>
      <c r="E11783" s="5" t="s">
        <v>3875</v>
      </c>
    </row>
    <row r="11784" spans="1:5" x14ac:dyDescent="0.25">
      <c r="A11784" s="5">
        <f>11776</f>
      </c>
      <c r="B11784" s="5" t="s">
        <v>11050</v>
      </c>
      <c r="C11784" s="5" t="s">
        <v>11</v>
      </c>
      <c r="D11784" s="5" t="s">
        <v>12</v>
      </c>
      <c r="E11784" s="5" t="s">
        <v>826</v>
      </c>
    </row>
    <row r="11785" spans="1:5" x14ac:dyDescent="0.25">
      <c r="A11785" s="5">
        <f>11777</f>
      </c>
      <c r="B11785" s="5" t="s">
        <v>11051</v>
      </c>
      <c r="C11785" s="5" t="s">
        <v>11</v>
      </c>
      <c r="D11785" s="5" t="s">
        <v>12</v>
      </c>
      <c r="E11785" s="5" t="s">
        <v>873</v>
      </c>
    </row>
    <row r="11786" spans="1:5" x14ac:dyDescent="0.25">
      <c r="A11786" s="5">
        <f>11778</f>
      </c>
      <c r="B11786" s="5" t="s">
        <v>11052</v>
      </c>
      <c r="C11786" s="5" t="s">
        <v>11</v>
      </c>
      <c r="D11786" s="5" t="s">
        <v>12</v>
      </c>
      <c r="E11786" s="5" t="s">
        <v>2316</v>
      </c>
    </row>
    <row r="11787" spans="1:5" x14ac:dyDescent="0.25">
      <c r="A11787" s="5">
        <f>11779</f>
      </c>
      <c r="B11787" s="5" t="s">
        <v>11053</v>
      </c>
      <c r="C11787" s="5" t="s">
        <v>11</v>
      </c>
      <c r="D11787" s="5" t="s">
        <v>12</v>
      </c>
      <c r="E11787" s="5" t="s">
        <v>1036</v>
      </c>
    </row>
    <row r="11788" spans="1:5" x14ac:dyDescent="0.25">
      <c r="A11788" s="5">
        <f>11780</f>
      </c>
      <c r="B11788" s="5" t="s">
        <v>11054</v>
      </c>
      <c r="C11788" s="5" t="s">
        <v>11</v>
      </c>
      <c r="D11788" s="5" t="s">
        <v>12</v>
      </c>
      <c r="E11788" s="5" t="s">
        <v>10843</v>
      </c>
    </row>
    <row r="11789" spans="1:5" x14ac:dyDescent="0.25">
      <c r="A11789" s="5">
        <f>11781</f>
      </c>
      <c r="B11789" s="5" t="s">
        <v>11055</v>
      </c>
      <c r="C11789" s="5" t="s">
        <v>11</v>
      </c>
      <c r="D11789" s="5" t="s">
        <v>12</v>
      </c>
      <c r="E11789" s="5" t="s">
        <v>3955</v>
      </c>
    </row>
    <row r="11790" spans="1:5" x14ac:dyDescent="0.25">
      <c r="A11790" s="5">
        <f>11782</f>
      </c>
      <c r="B11790" s="5" t="s">
        <v>11056</v>
      </c>
      <c r="C11790" s="5" t="s">
        <v>11</v>
      </c>
      <c r="D11790" s="5" t="s">
        <v>12</v>
      </c>
      <c r="E11790" s="5" t="s">
        <v>2400</v>
      </c>
    </row>
    <row r="11791" spans="1:5" x14ac:dyDescent="0.25">
      <c r="A11791" s="5">
        <f>11783</f>
      </c>
      <c r="B11791" s="5" t="s">
        <v>11057</v>
      </c>
      <c r="C11791" s="5" t="s">
        <v>11</v>
      </c>
      <c r="D11791" s="5" t="s">
        <v>12</v>
      </c>
      <c r="E11791" s="5" t="s">
        <v>879</v>
      </c>
    </row>
    <row r="11792" spans="1:5" x14ac:dyDescent="0.25">
      <c r="A11792" s="5">
        <f>11784</f>
      </c>
      <c r="B11792" s="5" t="s">
        <v>11058</v>
      </c>
      <c r="C11792" s="5" t="s">
        <v>11</v>
      </c>
      <c r="D11792" s="5" t="s">
        <v>12</v>
      </c>
      <c r="E11792" s="5" t="s">
        <v>2883</v>
      </c>
    </row>
    <row r="11793" spans="1:5" x14ac:dyDescent="0.25">
      <c r="A11793" s="5">
        <f>11785</f>
      </c>
      <c r="B11793" s="5" t="s">
        <v>11059</v>
      </c>
      <c r="C11793" s="5" t="s">
        <v>11</v>
      </c>
      <c r="D11793" s="5" t="s">
        <v>12</v>
      </c>
      <c r="E11793" s="5" t="s">
        <v>3958</v>
      </c>
    </row>
    <row r="11794" spans="1:5" x14ac:dyDescent="0.25">
      <c r="A11794" s="5">
        <f>11786</f>
      </c>
      <c r="B11794" s="5" t="s">
        <v>11060</v>
      </c>
      <c r="C11794" s="5" t="s">
        <v>11</v>
      </c>
      <c r="D11794" s="5" t="s">
        <v>12</v>
      </c>
      <c r="E11794" s="5" t="s">
        <v>4105</v>
      </c>
    </row>
    <row r="11795" spans="1:5" x14ac:dyDescent="0.25">
      <c r="A11795" s="5">
        <f>11787</f>
      </c>
      <c r="B11795" s="5" t="s">
        <v>11061</v>
      </c>
      <c r="C11795" s="5" t="s">
        <v>11</v>
      </c>
      <c r="D11795" s="5" t="s">
        <v>12</v>
      </c>
      <c r="E11795" s="5" t="s">
        <v>2257</v>
      </c>
    </row>
    <row r="11796" spans="1:5" x14ac:dyDescent="0.25">
      <c r="A11796" s="5">
        <f>11788</f>
      </c>
      <c r="B11796" s="5" t="s">
        <v>11062</v>
      </c>
      <c r="C11796" s="5" t="s">
        <v>11</v>
      </c>
      <c r="D11796" s="5" t="s">
        <v>12</v>
      </c>
      <c r="E11796" s="5" t="s">
        <v>3628</v>
      </c>
    </row>
    <row r="11797" spans="1:5" x14ac:dyDescent="0.25">
      <c r="A11797" s="5">
        <f>11789</f>
      </c>
      <c r="B11797" s="5" t="s">
        <v>11063</v>
      </c>
      <c r="C11797" s="5" t="s">
        <v>11</v>
      </c>
      <c r="D11797" s="5" t="s">
        <v>12</v>
      </c>
      <c r="E11797" s="5" t="s">
        <v>3621</v>
      </c>
    </row>
    <row r="11798" spans="1:5" x14ac:dyDescent="0.25">
      <c r="A11798" s="5">
        <f>11790</f>
      </c>
      <c r="B11798" s="5" t="s">
        <v>11064</v>
      </c>
      <c r="C11798" s="5" t="s">
        <v>11</v>
      </c>
      <c r="D11798" s="5" t="s">
        <v>12</v>
      </c>
      <c r="E11798" s="5" t="s">
        <v>3516</v>
      </c>
    </row>
    <row r="11799" spans="1:5" x14ac:dyDescent="0.25">
      <c r="A11799" s="5">
        <f>11791</f>
      </c>
      <c r="B11799" s="5" t="s">
        <v>11065</v>
      </c>
      <c r="C11799" s="5" t="s">
        <v>11</v>
      </c>
      <c r="D11799" s="5" t="s">
        <v>12</v>
      </c>
      <c r="E11799" s="5" t="s">
        <v>2249</v>
      </c>
    </row>
    <row r="11800" spans="1:5" x14ac:dyDescent="0.25">
      <c r="A11800" s="5">
        <f>11792</f>
      </c>
      <c r="B11800" s="5" t="s">
        <v>11066</v>
      </c>
      <c r="C11800" s="5" t="s">
        <v>11</v>
      </c>
      <c r="D11800" s="5" t="s">
        <v>12</v>
      </c>
      <c r="E11800" s="5" t="s">
        <v>3555</v>
      </c>
    </row>
    <row r="11801" spans="1:5" x14ac:dyDescent="0.25">
      <c r="A11801" s="5">
        <f>11793</f>
      </c>
      <c r="B11801" s="5" t="s">
        <v>11067</v>
      </c>
      <c r="C11801" s="5" t="s">
        <v>11</v>
      </c>
      <c r="D11801" s="5" t="s">
        <v>12</v>
      </c>
      <c r="E11801" s="5" t="s">
        <v>924</v>
      </c>
    </row>
    <row r="11802" spans="1:5" x14ac:dyDescent="0.25">
      <c r="A11802" s="5">
        <f>11794</f>
      </c>
      <c r="B11802" s="5" t="s">
        <v>11068</v>
      </c>
      <c r="C11802" s="5" t="s">
        <v>11</v>
      </c>
      <c r="D11802" s="5" t="s">
        <v>12</v>
      </c>
      <c r="E11802" s="5" t="s">
        <v>832</v>
      </c>
    </row>
    <row r="11803" spans="1:5" x14ac:dyDescent="0.25">
      <c r="A11803" s="5">
        <f>11795</f>
      </c>
      <c r="B11803" s="5" t="s">
        <v>11069</v>
      </c>
      <c r="C11803" s="5" t="s">
        <v>11</v>
      </c>
      <c r="D11803" s="5" t="s">
        <v>12</v>
      </c>
      <c r="E11803" s="5" t="s">
        <v>2381</v>
      </c>
    </row>
    <row r="11804" spans="1:5" x14ac:dyDescent="0.25">
      <c r="A11804" s="5">
        <f>11796</f>
      </c>
      <c r="B11804" s="5" t="s">
        <v>11070</v>
      </c>
      <c r="C11804" s="5" t="s">
        <v>11</v>
      </c>
      <c r="D11804" s="5" t="s">
        <v>12</v>
      </c>
      <c r="E11804" s="5" t="s">
        <v>3563</v>
      </c>
    </row>
    <row r="11805" spans="1:5" x14ac:dyDescent="0.25">
      <c r="A11805" s="5">
        <f>11797</f>
      </c>
      <c r="B11805" s="5" t="s">
        <v>11071</v>
      </c>
      <c r="C11805" s="5" t="s">
        <v>11</v>
      </c>
      <c r="D11805" s="5" t="s">
        <v>12</v>
      </c>
      <c r="E11805" s="5" t="s">
        <v>3520</v>
      </c>
    </row>
    <row r="11806" spans="1:5" x14ac:dyDescent="0.25">
      <c r="A11806" s="5">
        <f>11798</f>
      </c>
      <c r="B11806" s="5" t="s">
        <v>11072</v>
      </c>
      <c r="C11806" s="5" t="s">
        <v>11</v>
      </c>
      <c r="D11806" s="5" t="s">
        <v>12</v>
      </c>
      <c r="E11806" s="5" t="s">
        <v>9553</v>
      </c>
    </row>
    <row r="11807" spans="1:5" x14ac:dyDescent="0.25">
      <c r="A11807" s="5">
        <f>11799</f>
      </c>
      <c r="B11807" s="5" t="s">
        <v>11073</v>
      </c>
      <c r="C11807" s="5" t="s">
        <v>11</v>
      </c>
      <c r="D11807" s="5" t="s">
        <v>12</v>
      </c>
      <c r="E11807" s="5" t="s">
        <v>4075</v>
      </c>
    </row>
    <row r="11808" spans="1:5" x14ac:dyDescent="0.25">
      <c r="A11808" s="5">
        <f>11800</f>
      </c>
      <c r="B11808" s="5" t="s">
        <v>11074</v>
      </c>
      <c r="C11808" s="5" t="s">
        <v>11</v>
      </c>
      <c r="D11808" s="5" t="s">
        <v>12</v>
      </c>
      <c r="E11808" s="5" t="s">
        <v>2600</v>
      </c>
    </row>
    <row r="11809" spans="1:5" x14ac:dyDescent="0.25">
      <c r="A11809" s="5">
        <f>11801</f>
      </c>
      <c r="B11809" s="5" t="s">
        <v>11075</v>
      </c>
      <c r="C11809" s="5" t="s">
        <v>11</v>
      </c>
      <c r="D11809" s="5" t="s">
        <v>12</v>
      </c>
      <c r="E11809" s="5" t="s">
        <v>2816</v>
      </c>
    </row>
    <row r="11810" spans="1:5" x14ac:dyDescent="0.25">
      <c r="A11810" s="5">
        <f>11802</f>
      </c>
      <c r="B11810" s="5" t="s">
        <v>11076</v>
      </c>
      <c r="C11810" s="5" t="s">
        <v>11</v>
      </c>
      <c r="D11810" s="5" t="s">
        <v>12</v>
      </c>
      <c r="E11810" s="5" t="s">
        <v>2579</v>
      </c>
    </row>
    <row r="11811" spans="1:5" x14ac:dyDescent="0.25">
      <c r="A11811" s="5">
        <f>11803</f>
      </c>
      <c r="B11811" s="5" t="s">
        <v>11077</v>
      </c>
      <c r="C11811" s="5" t="s">
        <v>11</v>
      </c>
      <c r="D11811" s="5" t="s">
        <v>12</v>
      </c>
      <c r="E11811" s="5" t="s">
        <v>10640</v>
      </c>
    </row>
    <row r="11812" spans="1:5" x14ac:dyDescent="0.25">
      <c r="A11812" s="5">
        <f>11804</f>
      </c>
      <c r="B11812" s="5" t="s">
        <v>11078</v>
      </c>
      <c r="C11812" s="5" t="s">
        <v>11</v>
      </c>
      <c r="D11812" s="5" t="s">
        <v>12</v>
      </c>
      <c r="E11812" s="5" t="s">
        <v>3761</v>
      </c>
    </row>
    <row r="11813" spans="1:5" x14ac:dyDescent="0.25">
      <c r="A11813" s="5">
        <f>11805</f>
      </c>
      <c r="B11813" s="5" t="s">
        <v>11079</v>
      </c>
      <c r="C11813" s="5" t="s">
        <v>11</v>
      </c>
      <c r="D11813" s="5" t="s">
        <v>12</v>
      </c>
      <c r="E11813" s="5" t="s">
        <v>853</v>
      </c>
    </row>
    <row r="11814" spans="1:5" x14ac:dyDescent="0.25">
      <c r="A11814" s="5">
        <f>11806</f>
      </c>
      <c r="B11814" s="5" t="s">
        <v>11080</v>
      </c>
      <c r="C11814" s="5" t="s">
        <v>11</v>
      </c>
      <c r="D11814" s="5" t="s">
        <v>12</v>
      </c>
      <c r="E11814" s="5" t="s">
        <v>3488</v>
      </c>
    </row>
    <row r="11815" spans="1:5" x14ac:dyDescent="0.25">
      <c r="A11815" s="5">
        <f>11807</f>
      </c>
      <c r="B11815" s="5" t="s">
        <v>11081</v>
      </c>
      <c r="C11815" s="5" t="s">
        <v>11</v>
      </c>
      <c r="D11815" s="5" t="s">
        <v>12</v>
      </c>
      <c r="E11815" s="5" t="s">
        <v>2632</v>
      </c>
    </row>
    <row r="11816" spans="1:5" x14ac:dyDescent="0.25">
      <c r="A11816" s="5">
        <f>11808</f>
      </c>
      <c r="B11816" s="5" t="s">
        <v>11082</v>
      </c>
      <c r="C11816" s="5" t="s">
        <v>11</v>
      </c>
      <c r="D11816" s="5" t="s">
        <v>12</v>
      </c>
      <c r="E11816" s="5" t="s">
        <v>10640</v>
      </c>
    </row>
    <row r="11817" spans="1:5" x14ac:dyDescent="0.25">
      <c r="A11817" s="5">
        <f>11809</f>
      </c>
      <c r="B11817" s="5" t="s">
        <v>11083</v>
      </c>
      <c r="C11817" s="5" t="s">
        <v>11</v>
      </c>
      <c r="D11817" s="5" t="s">
        <v>12</v>
      </c>
      <c r="E11817" s="5" t="s">
        <v>9521</v>
      </c>
    </row>
    <row r="11818" spans="1:5" x14ac:dyDescent="0.25">
      <c r="A11818" s="5">
        <f>11810</f>
      </c>
      <c r="B11818" s="5" t="s">
        <v>11084</v>
      </c>
      <c r="C11818" s="5" t="s">
        <v>11</v>
      </c>
      <c r="D11818" s="5" t="s">
        <v>12</v>
      </c>
      <c r="E11818" s="5" t="s">
        <v>2577</v>
      </c>
    </row>
    <row r="11819" spans="1:5" x14ac:dyDescent="0.25">
      <c r="A11819" s="5">
        <f>11811</f>
      </c>
      <c r="B11819" s="5" t="s">
        <v>11085</v>
      </c>
      <c r="C11819" s="5" t="s">
        <v>11</v>
      </c>
      <c r="D11819" s="5" t="s">
        <v>12</v>
      </c>
      <c r="E11819" s="5" t="s">
        <v>4164</v>
      </c>
    </row>
    <row r="11820" spans="1:5" x14ac:dyDescent="0.25">
      <c r="A11820" s="5">
        <f>11812</f>
      </c>
      <c r="B11820" s="5" t="s">
        <v>11086</v>
      </c>
      <c r="C11820" s="5" t="s">
        <v>11</v>
      </c>
      <c r="D11820" s="5" t="s">
        <v>12</v>
      </c>
      <c r="E11820" s="5" t="s">
        <v>781</v>
      </c>
    </row>
    <row r="11821" spans="1:5" x14ac:dyDescent="0.25">
      <c r="A11821" s="5">
        <f>11813</f>
      </c>
      <c r="B11821" s="5" t="s">
        <v>11087</v>
      </c>
      <c r="C11821" s="5" t="s">
        <v>11</v>
      </c>
      <c r="D11821" s="5" t="s">
        <v>12</v>
      </c>
      <c r="E11821" s="5" t="s">
        <v>999</v>
      </c>
    </row>
    <row r="11822" spans="1:5" x14ac:dyDescent="0.25">
      <c r="A11822" s="5">
        <f>11814</f>
      </c>
      <c r="B11822" s="5" t="s">
        <v>11088</v>
      </c>
      <c r="C11822" s="5" t="s">
        <v>11</v>
      </c>
      <c r="D11822" s="5" t="s">
        <v>12</v>
      </c>
      <c r="E11822" s="5" t="s">
        <v>10541</v>
      </c>
    </row>
    <row r="11823" spans="1:5" x14ac:dyDescent="0.25">
      <c r="A11823" s="5">
        <f>11815</f>
      </c>
      <c r="B11823" s="5" t="s">
        <v>11089</v>
      </c>
      <c r="C11823" s="5" t="s">
        <v>11</v>
      </c>
      <c r="D11823" s="5" t="s">
        <v>12</v>
      </c>
      <c r="E11823" s="5" t="s">
        <v>3571</v>
      </c>
    </row>
    <row r="11824" spans="1:5" x14ac:dyDescent="0.25">
      <c r="A11824" s="5">
        <f>11816</f>
      </c>
      <c r="B11824" s="5" t="s">
        <v>11090</v>
      </c>
      <c r="C11824" s="5" t="s">
        <v>11</v>
      </c>
      <c r="D11824" s="5" t="s">
        <v>12</v>
      </c>
      <c r="E11824" s="5" t="s">
        <v>778</v>
      </c>
    </row>
    <row r="11825" spans="1:5" x14ac:dyDescent="0.25">
      <c r="A11825" s="5">
        <f>11817</f>
      </c>
      <c r="B11825" s="5" t="s">
        <v>11091</v>
      </c>
      <c r="C11825" s="5" t="s">
        <v>11</v>
      </c>
      <c r="D11825" s="5" t="s">
        <v>12</v>
      </c>
      <c r="E11825" s="5" t="s">
        <v>1025</v>
      </c>
    </row>
    <row r="11826" spans="1:5" x14ac:dyDescent="0.25">
      <c r="A11826" s="5">
        <f>11818</f>
      </c>
      <c r="B11826" s="5" t="s">
        <v>11092</v>
      </c>
      <c r="C11826" s="5" t="s">
        <v>11</v>
      </c>
      <c r="D11826" s="5" t="s">
        <v>12</v>
      </c>
      <c r="E11826" s="5" t="s">
        <v>736</v>
      </c>
    </row>
    <row r="11827" spans="1:5" x14ac:dyDescent="0.25">
      <c r="A11827" s="5">
        <f>11819</f>
      </c>
      <c r="B11827" s="5" t="s">
        <v>11093</v>
      </c>
      <c r="C11827" s="5" t="s">
        <v>11</v>
      </c>
      <c r="D11827" s="5" t="s">
        <v>12</v>
      </c>
      <c r="E11827" s="5" t="s">
        <v>3664</v>
      </c>
    </row>
    <row r="11828" spans="1:5" x14ac:dyDescent="0.25">
      <c r="A11828" s="5">
        <f>11820</f>
      </c>
      <c r="B11828" s="5" t="s">
        <v>11094</v>
      </c>
      <c r="C11828" s="5" t="s">
        <v>11</v>
      </c>
      <c r="D11828" s="5" t="s">
        <v>12</v>
      </c>
      <c r="E11828" s="5" t="s">
        <v>957</v>
      </c>
    </row>
    <row r="11829" spans="1:5" x14ac:dyDescent="0.25">
      <c r="A11829" s="5">
        <f>11821</f>
      </c>
      <c r="B11829" s="5" t="s">
        <v>11095</v>
      </c>
      <c r="C11829" s="5" t="s">
        <v>11</v>
      </c>
      <c r="D11829" s="5" t="s">
        <v>12</v>
      </c>
      <c r="E11829" s="5" t="s">
        <v>3774</v>
      </c>
    </row>
    <row r="11830" spans="1:5" x14ac:dyDescent="0.25">
      <c r="A11830" s="5">
        <f>11822</f>
      </c>
      <c r="B11830" s="5" t="s">
        <v>11096</v>
      </c>
      <c r="C11830" s="5" t="s">
        <v>11</v>
      </c>
      <c r="D11830" s="5" t="s">
        <v>12</v>
      </c>
      <c r="E11830" s="5" t="s">
        <v>3559</v>
      </c>
    </row>
    <row r="11831" spans="1:5" x14ac:dyDescent="0.25">
      <c r="A11831" s="5">
        <f>11823</f>
      </c>
      <c r="B11831" s="5" t="s">
        <v>11097</v>
      </c>
      <c r="C11831" s="5" t="s">
        <v>11</v>
      </c>
      <c r="D11831" s="5" t="s">
        <v>12</v>
      </c>
      <c r="E11831" s="5" t="s">
        <v>2341</v>
      </c>
    </row>
    <row r="11832" spans="1:5" x14ac:dyDescent="0.25">
      <c r="A11832" s="5">
        <f>11824</f>
      </c>
      <c r="B11832" s="5" t="s">
        <v>11098</v>
      </c>
      <c r="C11832" s="5" t="s">
        <v>11</v>
      </c>
      <c r="D11832" s="5" t="s">
        <v>12</v>
      </c>
      <c r="E11832" s="5" t="s">
        <v>2577</v>
      </c>
    </row>
    <row r="11833" spans="1:5" x14ac:dyDescent="0.25">
      <c r="A11833" s="5">
        <f>11825</f>
      </c>
      <c r="B11833" s="5" t="s">
        <v>11099</v>
      </c>
      <c r="C11833" s="5" t="s">
        <v>11</v>
      </c>
      <c r="D11833" s="5" t="s">
        <v>12</v>
      </c>
      <c r="E11833" s="5" t="s">
        <v>2821</v>
      </c>
    </row>
    <row r="11834" spans="1:5" x14ac:dyDescent="0.25">
      <c r="A11834" s="5">
        <f>11826</f>
      </c>
      <c r="B11834" s="5" t="s">
        <v>11100</v>
      </c>
      <c r="C11834" s="5" t="s">
        <v>11</v>
      </c>
      <c r="D11834" s="5" t="s">
        <v>12</v>
      </c>
      <c r="E11834" s="5" t="s">
        <v>2883</v>
      </c>
    </row>
    <row r="11835" spans="1:5" x14ac:dyDescent="0.25">
      <c r="A11835" s="5">
        <f>11827</f>
      </c>
      <c r="B11835" s="5" t="s">
        <v>11101</v>
      </c>
      <c r="C11835" s="5" t="s">
        <v>11</v>
      </c>
      <c r="D11835" s="5" t="s">
        <v>12</v>
      </c>
      <c r="E11835" s="5" t="s">
        <v>736</v>
      </c>
    </row>
    <row r="11836" spans="1:5" x14ac:dyDescent="0.25">
      <c r="A11836" s="5">
        <f>11828</f>
      </c>
      <c r="B11836" s="5" t="s">
        <v>11102</v>
      </c>
      <c r="C11836" s="5" t="s">
        <v>11</v>
      </c>
      <c r="D11836" s="5" t="s">
        <v>12</v>
      </c>
      <c r="E11836" s="5" t="s">
        <v>10680</v>
      </c>
    </row>
    <row r="11837" spans="1:5" x14ac:dyDescent="0.25">
      <c r="A11837" s="5">
        <f>11829</f>
      </c>
      <c r="B11837" s="5" t="s">
        <v>11103</v>
      </c>
      <c r="C11837" s="5" t="s">
        <v>11</v>
      </c>
      <c r="D11837" s="5" t="s">
        <v>12</v>
      </c>
      <c r="E11837" s="5" t="s">
        <v>3571</v>
      </c>
    </row>
    <row r="11838" spans="1:5" x14ac:dyDescent="0.25">
      <c r="A11838" s="5">
        <f>11830</f>
      </c>
      <c r="B11838" s="5" t="s">
        <v>11104</v>
      </c>
      <c r="C11838" s="5" t="s">
        <v>11</v>
      </c>
      <c r="D11838" s="5" t="s">
        <v>12</v>
      </c>
      <c r="E11838" s="5" t="s">
        <v>3569</v>
      </c>
    </row>
    <row r="11839" spans="1:5" x14ac:dyDescent="0.25">
      <c r="A11839" s="5">
        <f>11831</f>
      </c>
      <c r="B11839" s="5" t="s">
        <v>11105</v>
      </c>
      <c r="C11839" s="5" t="s">
        <v>11</v>
      </c>
      <c r="D11839" s="5" t="s">
        <v>12</v>
      </c>
      <c r="E11839" s="5" t="s">
        <v>3433</v>
      </c>
    </row>
    <row r="11840" spans="1:5" x14ac:dyDescent="0.25">
      <c r="A11840" s="5">
        <f>11832</f>
      </c>
      <c r="B11840" s="5" t="s">
        <v>11106</v>
      </c>
      <c r="C11840" s="5" t="s">
        <v>11</v>
      </c>
      <c r="D11840" s="5" t="s">
        <v>12</v>
      </c>
      <c r="E11840" s="5" t="s">
        <v>4072</v>
      </c>
    </row>
    <row r="11841" spans="1:5" x14ac:dyDescent="0.25">
      <c r="A11841" s="5">
        <f>11833</f>
      </c>
      <c r="B11841" s="5" t="s">
        <v>11107</v>
      </c>
      <c r="C11841" s="5" t="s">
        <v>11</v>
      </c>
      <c r="D11841" s="5" t="s">
        <v>12</v>
      </c>
      <c r="E11841" s="5" t="s">
        <v>2329</v>
      </c>
    </row>
    <row r="11842" spans="1:5" x14ac:dyDescent="0.25">
      <c r="A11842" s="5">
        <f>11834</f>
      </c>
      <c r="B11842" s="5" t="s">
        <v>11108</v>
      </c>
      <c r="C11842" s="5" t="s">
        <v>11</v>
      </c>
      <c r="D11842" s="5" t="s">
        <v>12</v>
      </c>
      <c r="E11842" s="5" t="s">
        <v>734</v>
      </c>
    </row>
    <row r="11843" spans="1:5" x14ac:dyDescent="0.25">
      <c r="A11843" s="5">
        <f>11835</f>
      </c>
      <c r="B11843" s="5" t="s">
        <v>11109</v>
      </c>
      <c r="C11843" s="5" t="s">
        <v>11</v>
      </c>
      <c r="D11843" s="5" t="s">
        <v>12</v>
      </c>
      <c r="E11843" s="5" t="s">
        <v>1056</v>
      </c>
    </row>
    <row r="11844" spans="1:5" x14ac:dyDescent="0.25">
      <c r="A11844" s="5">
        <f>11836</f>
      </c>
      <c r="B11844" s="5" t="s">
        <v>11110</v>
      </c>
      <c r="C11844" s="5" t="s">
        <v>11</v>
      </c>
      <c r="D11844" s="5" t="s">
        <v>12</v>
      </c>
      <c r="E11844" s="5" t="s">
        <v>3433</v>
      </c>
    </row>
    <row r="11845" spans="1:5" x14ac:dyDescent="0.25">
      <c r="A11845" s="5">
        <f>11837</f>
      </c>
      <c r="B11845" s="5" t="s">
        <v>11111</v>
      </c>
      <c r="C11845" s="5" t="s">
        <v>11</v>
      </c>
      <c r="D11845" s="5" t="s">
        <v>12</v>
      </c>
      <c r="E11845" s="5" t="s">
        <v>3549</v>
      </c>
    </row>
    <row r="11846" spans="1:5" x14ac:dyDescent="0.25">
      <c r="A11846" s="5">
        <f>11838</f>
      </c>
      <c r="B11846" s="5" t="s">
        <v>11112</v>
      </c>
      <c r="C11846" s="5" t="s">
        <v>11</v>
      </c>
      <c r="D11846" s="5" t="s">
        <v>12</v>
      </c>
      <c r="E11846" s="5" t="s">
        <v>10557</v>
      </c>
    </row>
    <row r="11847" spans="1:5" x14ac:dyDescent="0.25">
      <c r="A11847" s="5">
        <f>11839</f>
      </c>
      <c r="B11847" s="5" t="s">
        <v>11113</v>
      </c>
      <c r="C11847" s="5" t="s">
        <v>11</v>
      </c>
      <c r="D11847" s="5" t="s">
        <v>12</v>
      </c>
      <c r="E11847" s="5" t="s">
        <v>2322</v>
      </c>
    </row>
    <row r="11848" spans="1:5" x14ac:dyDescent="0.25">
      <c r="A11848" s="5">
        <f>11840</f>
      </c>
      <c r="B11848" s="5" t="s">
        <v>11114</v>
      </c>
      <c r="C11848" s="5" t="s">
        <v>11</v>
      </c>
      <c r="D11848" s="5" t="s">
        <v>12</v>
      </c>
      <c r="E11848" s="5" t="s">
        <v>9518</v>
      </c>
    </row>
    <row r="11849" spans="1:5" x14ac:dyDescent="0.25">
      <c r="A11849" s="5">
        <f>11841</f>
      </c>
      <c r="B11849" s="5" t="s">
        <v>11115</v>
      </c>
      <c r="C11849" s="5" t="s">
        <v>11</v>
      </c>
      <c r="D11849" s="5" t="s">
        <v>12</v>
      </c>
      <c r="E11849" s="5" t="s">
        <v>826</v>
      </c>
    </row>
    <row r="11850" spans="1:5" x14ac:dyDescent="0.25">
      <c r="A11850" s="5">
        <f>11842</f>
      </c>
      <c r="B11850" s="5" t="s">
        <v>11116</v>
      </c>
      <c r="C11850" s="5" t="s">
        <v>11</v>
      </c>
      <c r="D11850" s="5" t="s">
        <v>12</v>
      </c>
      <c r="E11850" s="5" t="s">
        <v>2829</v>
      </c>
    </row>
    <row r="11851" spans="1:5" x14ac:dyDescent="0.25">
      <c r="A11851" s="5">
        <f>11843</f>
      </c>
      <c r="B11851" s="5" t="s">
        <v>11117</v>
      </c>
      <c r="C11851" s="5" t="s">
        <v>11</v>
      </c>
      <c r="D11851" s="5" t="s">
        <v>12</v>
      </c>
      <c r="E11851" s="5" t="s">
        <v>2249</v>
      </c>
    </row>
    <row r="11852" spans="1:5" x14ac:dyDescent="0.25">
      <c r="A11852" s="5">
        <f>11844</f>
      </c>
      <c r="B11852" s="5" t="s">
        <v>11118</v>
      </c>
      <c r="C11852" s="5" t="s">
        <v>11</v>
      </c>
      <c r="D11852" s="5" t="s">
        <v>12</v>
      </c>
      <c r="E11852" s="5" t="s">
        <v>2400</v>
      </c>
    </row>
    <row r="11853" spans="1:5" x14ac:dyDescent="0.25">
      <c r="A11853" s="5">
        <f>11845</f>
      </c>
      <c r="B11853" s="5" t="s">
        <v>11119</v>
      </c>
      <c r="C11853" s="5" t="s">
        <v>11</v>
      </c>
      <c r="D11853" s="5" t="s">
        <v>12</v>
      </c>
      <c r="E11853" s="5" t="s">
        <v>11120</v>
      </c>
    </row>
    <row r="11854" spans="1:5" x14ac:dyDescent="0.25">
      <c r="A11854" s="5">
        <f>11846</f>
      </c>
      <c r="B11854" s="5" t="s">
        <v>11121</v>
      </c>
      <c r="C11854" s="5" t="s">
        <v>11</v>
      </c>
      <c r="D11854" s="5" t="s">
        <v>12</v>
      </c>
      <c r="E11854" s="5" t="s">
        <v>1077</v>
      </c>
    </row>
    <row r="11855" spans="1:5" x14ac:dyDescent="0.25">
      <c r="A11855" s="5">
        <f>11847</f>
      </c>
      <c r="B11855" s="5" t="s">
        <v>11122</v>
      </c>
      <c r="C11855" s="5" t="s">
        <v>11</v>
      </c>
      <c r="D11855" s="5" t="s">
        <v>12</v>
      </c>
      <c r="E11855" s="5" t="s">
        <v>2645</v>
      </c>
    </row>
    <row r="11856" spans="1:5" x14ac:dyDescent="0.25">
      <c r="A11856" s="5">
        <f>11848</f>
      </c>
      <c r="B11856" s="5" t="s">
        <v>11123</v>
      </c>
      <c r="C11856" s="5" t="s">
        <v>11</v>
      </c>
      <c r="D11856" s="5" t="s">
        <v>12</v>
      </c>
      <c r="E11856" s="5" t="s">
        <v>1002</v>
      </c>
    </row>
    <row r="11857" spans="1:5" x14ac:dyDescent="0.25">
      <c r="A11857" s="5">
        <f>11849</f>
      </c>
      <c r="B11857" s="5" t="s">
        <v>11124</v>
      </c>
      <c r="C11857" s="5" t="s">
        <v>11</v>
      </c>
      <c r="D11857" s="5" t="s">
        <v>12</v>
      </c>
      <c r="E11857" s="5" t="s">
        <v>3527</v>
      </c>
    </row>
    <row r="11858" spans="1:5" x14ac:dyDescent="0.25">
      <c r="A11858" s="5">
        <f>11850</f>
      </c>
      <c r="B11858" s="5" t="s">
        <v>11125</v>
      </c>
      <c r="C11858" s="5" t="s">
        <v>11</v>
      </c>
      <c r="D11858" s="5" t="s">
        <v>12</v>
      </c>
      <c r="E11858" s="5" t="s">
        <v>873</v>
      </c>
    </row>
    <row r="11859" spans="1:5" x14ac:dyDescent="0.25">
      <c r="A11859" s="5">
        <f>11851</f>
      </c>
      <c r="B11859" s="5" t="s">
        <v>11126</v>
      </c>
      <c r="C11859" s="5" t="s">
        <v>11</v>
      </c>
      <c r="D11859" s="5" t="s">
        <v>12</v>
      </c>
      <c r="E11859" s="5" t="s">
        <v>835</v>
      </c>
    </row>
    <row r="11860" spans="1:5" x14ac:dyDescent="0.25">
      <c r="A11860" s="5">
        <f>11852</f>
      </c>
      <c r="B11860" s="5" t="s">
        <v>11127</v>
      </c>
      <c r="C11860" s="5" t="s">
        <v>11</v>
      </c>
      <c r="D11860" s="5" t="s">
        <v>12</v>
      </c>
      <c r="E11860" s="5" t="s">
        <v>781</v>
      </c>
    </row>
    <row r="11861" spans="1:5" x14ac:dyDescent="0.25">
      <c r="A11861" s="5">
        <f>11853</f>
      </c>
      <c r="B11861" s="5" t="s">
        <v>11128</v>
      </c>
      <c r="C11861" s="5" t="s">
        <v>11</v>
      </c>
      <c r="D11861" s="5" t="s">
        <v>12</v>
      </c>
      <c r="E11861" s="5" t="s">
        <v>734</v>
      </c>
    </row>
    <row r="11862" spans="1:5" x14ac:dyDescent="0.25">
      <c r="A11862" s="5">
        <f>11854</f>
      </c>
      <c r="B11862" s="5" t="s">
        <v>11129</v>
      </c>
      <c r="C11862" s="5" t="s">
        <v>11</v>
      </c>
      <c r="D11862" s="5" t="s">
        <v>12</v>
      </c>
      <c r="E11862" s="5" t="s">
        <v>9578</v>
      </c>
    </row>
    <row r="11863" spans="1:5" x14ac:dyDescent="0.25">
      <c r="A11863" s="5">
        <f>11855</f>
      </c>
      <c r="B11863" s="5" t="s">
        <v>11130</v>
      </c>
      <c r="C11863" s="5" t="s">
        <v>11</v>
      </c>
      <c r="D11863" s="5" t="s">
        <v>12</v>
      </c>
      <c r="E11863" s="5" t="s">
        <v>3761</v>
      </c>
    </row>
    <row r="11864" spans="1:5" x14ac:dyDescent="0.25">
      <c r="A11864" s="5">
        <f>11856</f>
      </c>
      <c r="B11864" s="5" t="s">
        <v>11131</v>
      </c>
      <c r="C11864" s="5" t="s">
        <v>11</v>
      </c>
      <c r="D11864" s="5" t="s">
        <v>12</v>
      </c>
      <c r="E11864" s="5" t="s">
        <v>2407</v>
      </c>
    </row>
    <row r="11865" spans="1:5" x14ac:dyDescent="0.25">
      <c r="A11865" s="5">
        <f>11857</f>
      </c>
      <c r="B11865" s="5" t="s">
        <v>11132</v>
      </c>
      <c r="C11865" s="5" t="s">
        <v>11</v>
      </c>
      <c r="D11865" s="5" t="s">
        <v>12</v>
      </c>
      <c r="E11865" s="5" t="s">
        <v>4018</v>
      </c>
    </row>
    <row r="11866" spans="1:5" x14ac:dyDescent="0.25">
      <c r="A11866" s="5">
        <f>11858</f>
      </c>
      <c r="B11866" s="5" t="s">
        <v>11133</v>
      </c>
      <c r="C11866" s="5" t="s">
        <v>11</v>
      </c>
      <c r="D11866" s="5" t="s">
        <v>12</v>
      </c>
      <c r="E11866" s="5" t="s">
        <v>3765</v>
      </c>
    </row>
    <row r="11867" spans="1:5" x14ac:dyDescent="0.25">
      <c r="A11867" s="5">
        <f>11859</f>
      </c>
      <c r="B11867" s="5" t="s">
        <v>11134</v>
      </c>
      <c r="C11867" s="5" t="s">
        <v>11</v>
      </c>
      <c r="D11867" s="5" t="s">
        <v>12</v>
      </c>
      <c r="E11867" s="5" t="s">
        <v>3367</v>
      </c>
    </row>
    <row r="11868" spans="1:5" x14ac:dyDescent="0.25">
      <c r="A11868" s="5">
        <f>11860</f>
      </c>
      <c r="B11868" s="5" t="s">
        <v>11135</v>
      </c>
      <c r="C11868" s="5" t="s">
        <v>11</v>
      </c>
      <c r="D11868" s="5" t="s">
        <v>12</v>
      </c>
      <c r="E11868" s="5" t="s">
        <v>2318</v>
      </c>
    </row>
    <row r="11869" spans="1:5" x14ac:dyDescent="0.25">
      <c r="A11869" s="5">
        <f>11861</f>
      </c>
      <c r="B11869" s="5" t="s">
        <v>11136</v>
      </c>
      <c r="C11869" s="5" t="s">
        <v>11</v>
      </c>
      <c r="D11869" s="5" t="s">
        <v>12</v>
      </c>
      <c r="E11869" s="5" t="s">
        <v>3488</v>
      </c>
    </row>
    <row r="11870" spans="1:5" x14ac:dyDescent="0.25">
      <c r="A11870" s="5">
        <f>11862</f>
      </c>
      <c r="B11870" s="5" t="s">
        <v>11137</v>
      </c>
      <c r="C11870" s="5" t="s">
        <v>11</v>
      </c>
      <c r="D11870" s="5" t="s">
        <v>12</v>
      </c>
      <c r="E11870" s="5" t="s">
        <v>10683</v>
      </c>
    </row>
    <row r="11871" spans="1:5" x14ac:dyDescent="0.25">
      <c r="A11871" s="5">
        <f>11863</f>
      </c>
      <c r="B11871" s="5" t="s">
        <v>11138</v>
      </c>
      <c r="C11871" s="5" t="s">
        <v>11</v>
      </c>
      <c r="D11871" s="5" t="s">
        <v>12</v>
      </c>
      <c r="E11871" s="5" t="s">
        <v>2610</v>
      </c>
    </row>
    <row r="11872" spans="1:5" x14ac:dyDescent="0.25">
      <c r="A11872" s="5">
        <f>11864</f>
      </c>
      <c r="B11872" s="5" t="s">
        <v>11139</v>
      </c>
      <c r="C11872" s="5" t="s">
        <v>11</v>
      </c>
      <c r="D11872" s="5" t="s">
        <v>12</v>
      </c>
      <c r="E11872" s="5" t="s">
        <v>3586</v>
      </c>
    </row>
    <row r="11873" spans="1:5" x14ac:dyDescent="0.25">
      <c r="A11873" s="5">
        <f>11865</f>
      </c>
      <c r="B11873" s="5" t="s">
        <v>11140</v>
      </c>
      <c r="C11873" s="5" t="s">
        <v>11</v>
      </c>
      <c r="D11873" s="5" t="s">
        <v>12</v>
      </c>
      <c r="E11873" s="5" t="s">
        <v>2600</v>
      </c>
    </row>
    <row r="11874" spans="1:5" x14ac:dyDescent="0.25">
      <c r="A11874" s="5">
        <f>11866</f>
      </c>
      <c r="B11874" s="5" t="s">
        <v>11141</v>
      </c>
      <c r="C11874" s="5" t="s">
        <v>11</v>
      </c>
      <c r="D11874" s="5" t="s">
        <v>12</v>
      </c>
      <c r="E11874" s="5" t="s">
        <v>2285</v>
      </c>
    </row>
    <row r="11875" spans="1:5" x14ac:dyDescent="0.25">
      <c r="A11875" s="5">
        <f>11867</f>
      </c>
      <c r="B11875" s="5" t="s">
        <v>11142</v>
      </c>
      <c r="C11875" s="5" t="s">
        <v>11</v>
      </c>
      <c r="D11875" s="5" t="s">
        <v>12</v>
      </c>
      <c r="E11875" s="5" t="s">
        <v>1020</v>
      </c>
    </row>
    <row r="11876" spans="1:5" x14ac:dyDescent="0.25">
      <c r="A11876" s="5">
        <f>11868</f>
      </c>
      <c r="B11876" s="5" t="s">
        <v>11143</v>
      </c>
      <c r="C11876" s="5" t="s">
        <v>11</v>
      </c>
      <c r="D11876" s="5" t="s">
        <v>12</v>
      </c>
      <c r="E11876" s="5" t="s">
        <v>2819</v>
      </c>
    </row>
    <row r="11877" spans="1:5" x14ac:dyDescent="0.25">
      <c r="A11877" s="5">
        <f>11869</f>
      </c>
      <c r="B11877" s="5" t="s">
        <v>11144</v>
      </c>
      <c r="C11877" s="5" t="s">
        <v>11</v>
      </c>
      <c r="D11877" s="5" t="s">
        <v>12</v>
      </c>
      <c r="E11877" s="5" t="s">
        <v>3759</v>
      </c>
    </row>
    <row r="11878" spans="1:5" x14ac:dyDescent="0.25">
      <c r="A11878" s="5">
        <f>11870</f>
      </c>
      <c r="B11878" s="5" t="s">
        <v>11145</v>
      </c>
      <c r="C11878" s="5" t="s">
        <v>11</v>
      </c>
      <c r="D11878" s="5" t="s">
        <v>12</v>
      </c>
      <c r="E11878" s="5" t="s">
        <v>4120</v>
      </c>
    </row>
    <row r="11879" spans="1:5" x14ac:dyDescent="0.25">
      <c r="A11879" s="5">
        <f>11871</f>
      </c>
      <c r="B11879" s="5" t="s">
        <v>11146</v>
      </c>
      <c r="C11879" s="5" t="s">
        <v>11</v>
      </c>
      <c r="D11879" s="5" t="s">
        <v>12</v>
      </c>
      <c r="E11879" s="5" t="s">
        <v>1040</v>
      </c>
    </row>
    <row r="11880" spans="1:5" x14ac:dyDescent="0.25">
      <c r="A11880" s="5">
        <f>11872</f>
      </c>
      <c r="B11880" s="5" t="s">
        <v>11147</v>
      </c>
      <c r="C11880" s="5" t="s">
        <v>11</v>
      </c>
      <c r="D11880" s="5" t="s">
        <v>12</v>
      </c>
      <c r="E11880" s="5" t="s">
        <v>2265</v>
      </c>
    </row>
    <row r="11881" spans="1:5" x14ac:dyDescent="0.25">
      <c r="A11881" s="5">
        <f>11873</f>
      </c>
      <c r="B11881" s="5" t="s">
        <v>11148</v>
      </c>
      <c r="C11881" s="5" t="s">
        <v>11</v>
      </c>
      <c r="D11881" s="5" t="s">
        <v>12</v>
      </c>
      <c r="E11881" s="5" t="s">
        <v>726</v>
      </c>
    </row>
    <row r="11882" spans="1:5" x14ac:dyDescent="0.25">
      <c r="A11882" s="5">
        <f>11874</f>
      </c>
      <c r="B11882" s="5" t="s">
        <v>11149</v>
      </c>
      <c r="C11882" s="5" t="s">
        <v>11</v>
      </c>
      <c r="D11882" s="5" t="s">
        <v>12</v>
      </c>
      <c r="E11882" s="5" t="s">
        <v>3924</v>
      </c>
    </row>
    <row r="11883" spans="1:5" x14ac:dyDescent="0.25">
      <c r="A11883" s="5">
        <f>11875</f>
      </c>
      <c r="B11883" s="5" t="s">
        <v>11150</v>
      </c>
      <c r="C11883" s="5" t="s">
        <v>11</v>
      </c>
      <c r="D11883" s="5" t="s">
        <v>12</v>
      </c>
      <c r="E11883" s="5" t="s">
        <v>2590</v>
      </c>
    </row>
    <row r="11884" spans="1:5" x14ac:dyDescent="0.25">
      <c r="A11884" s="5">
        <f>11876</f>
      </c>
      <c r="B11884" s="5" t="s">
        <v>11151</v>
      </c>
      <c r="C11884" s="5" t="s">
        <v>11</v>
      </c>
      <c r="D11884" s="5" t="s">
        <v>12</v>
      </c>
      <c r="E11884" s="5" t="s">
        <v>3561</v>
      </c>
    </row>
    <row r="11885" spans="1:5" x14ac:dyDescent="0.25">
      <c r="A11885" s="5">
        <f>11877</f>
      </c>
      <c r="B11885" s="5" t="s">
        <v>11152</v>
      </c>
      <c r="C11885" s="5" t="s">
        <v>11</v>
      </c>
      <c r="D11885" s="5" t="s">
        <v>12</v>
      </c>
      <c r="E11885" s="5" t="s">
        <v>2829</v>
      </c>
    </row>
    <row r="11886" spans="1:5" x14ac:dyDescent="0.25">
      <c r="A11886" s="5">
        <f>11878</f>
      </c>
      <c r="B11886" s="5" t="s">
        <v>11153</v>
      </c>
      <c r="C11886" s="5" t="s">
        <v>11</v>
      </c>
      <c r="D11886" s="5" t="s">
        <v>12</v>
      </c>
      <c r="E11886" s="5" t="s">
        <v>2614</v>
      </c>
    </row>
    <row r="11887" spans="1:5" x14ac:dyDescent="0.25">
      <c r="A11887" s="5">
        <f>11879</f>
      </c>
      <c r="B11887" s="5" t="s">
        <v>11154</v>
      </c>
      <c r="C11887" s="5" t="s">
        <v>11</v>
      </c>
      <c r="D11887" s="5" t="s">
        <v>12</v>
      </c>
      <c r="E11887" s="5" t="s">
        <v>4286</v>
      </c>
    </row>
    <row r="11888" spans="1:5" x14ac:dyDescent="0.25">
      <c r="A11888" s="5">
        <f>11880</f>
      </c>
      <c r="B11888" s="5" t="s">
        <v>11155</v>
      </c>
      <c r="C11888" s="5" t="s">
        <v>11</v>
      </c>
      <c r="D11888" s="5" t="s">
        <v>12</v>
      </c>
      <c r="E11888" s="5" t="s">
        <v>2262</v>
      </c>
    </row>
    <row r="11889" spans="1:5" x14ac:dyDescent="0.25">
      <c r="A11889" s="5">
        <f>11881</f>
      </c>
      <c r="B11889" s="5" t="s">
        <v>11156</v>
      </c>
      <c r="C11889" s="5" t="s">
        <v>11</v>
      </c>
      <c r="D11889" s="5" t="s">
        <v>12</v>
      </c>
      <c r="E11889" s="5" t="s">
        <v>3924</v>
      </c>
    </row>
    <row r="11890" spans="1:5" x14ac:dyDescent="0.25">
      <c r="A11890" s="5">
        <f>11882</f>
      </c>
      <c r="B11890" s="5" t="s">
        <v>11157</v>
      </c>
      <c r="C11890" s="5" t="s">
        <v>11</v>
      </c>
      <c r="D11890" s="5" t="s">
        <v>12</v>
      </c>
      <c r="E11890" s="5" t="s">
        <v>3709</v>
      </c>
    </row>
    <row r="11891" spans="1:5" x14ac:dyDescent="0.25">
      <c r="A11891" s="5">
        <f>11883</f>
      </c>
      <c r="B11891" s="5" t="s">
        <v>11158</v>
      </c>
      <c r="C11891" s="5" t="s">
        <v>11</v>
      </c>
      <c r="D11891" s="5" t="s">
        <v>12</v>
      </c>
      <c r="E11891" s="5" t="s">
        <v>3869</v>
      </c>
    </row>
    <row r="11892" spans="1:5" x14ac:dyDescent="0.25">
      <c r="A11892" s="5">
        <f>11884</f>
      </c>
      <c r="B11892" s="5" t="s">
        <v>11159</v>
      </c>
      <c r="C11892" s="5" t="s">
        <v>11</v>
      </c>
      <c r="D11892" s="5" t="s">
        <v>12</v>
      </c>
      <c r="E11892" s="5" t="s">
        <v>3386</v>
      </c>
    </row>
    <row r="11893" spans="1:5" x14ac:dyDescent="0.25">
      <c r="A11893" s="5">
        <f>11885</f>
      </c>
      <c r="B11893" s="5" t="s">
        <v>11160</v>
      </c>
      <c r="C11893" s="5" t="s">
        <v>11</v>
      </c>
      <c r="D11893" s="5" t="s">
        <v>12</v>
      </c>
      <c r="E11893" s="5" t="s">
        <v>1002</v>
      </c>
    </row>
    <row r="11894" spans="1:5" x14ac:dyDescent="0.25">
      <c r="A11894" s="5">
        <f>11886</f>
      </c>
      <c r="B11894" s="5" t="s">
        <v>11161</v>
      </c>
      <c r="C11894" s="5" t="s">
        <v>11</v>
      </c>
      <c r="D11894" s="5" t="s">
        <v>12</v>
      </c>
      <c r="E11894" s="5" t="s">
        <v>3621</v>
      </c>
    </row>
    <row r="11895" spans="1:5" x14ac:dyDescent="0.25">
      <c r="A11895" s="5">
        <f>11887</f>
      </c>
      <c r="B11895" s="5" t="s">
        <v>11162</v>
      </c>
      <c r="C11895" s="5" t="s">
        <v>11</v>
      </c>
      <c r="D11895" s="5" t="s">
        <v>12</v>
      </c>
      <c r="E11895" s="5" t="s">
        <v>2262</v>
      </c>
    </row>
    <row r="11896" spans="1:5" x14ac:dyDescent="0.25">
      <c r="A11896" s="5">
        <f>11888</f>
      </c>
      <c r="B11896" s="5" t="s">
        <v>11163</v>
      </c>
      <c r="C11896" s="5" t="s">
        <v>11</v>
      </c>
      <c r="D11896" s="5" t="s">
        <v>12</v>
      </c>
      <c r="E11896" s="5" t="s">
        <v>2883</v>
      </c>
    </row>
    <row r="11897" spans="1:5" x14ac:dyDescent="0.25">
      <c r="A11897" s="5">
        <f>11889</f>
      </c>
      <c r="B11897" s="5" t="s">
        <v>11164</v>
      </c>
      <c r="C11897" s="5" t="s">
        <v>11</v>
      </c>
      <c r="D11897" s="5" t="s">
        <v>12</v>
      </c>
      <c r="E11897" s="5" t="s">
        <v>3386</v>
      </c>
    </row>
    <row r="11898" spans="1:5" x14ac:dyDescent="0.25">
      <c r="A11898" s="5">
        <f>11890</f>
      </c>
      <c r="B11898" s="5" t="s">
        <v>11165</v>
      </c>
      <c r="C11898" s="5" t="s">
        <v>11</v>
      </c>
      <c r="D11898" s="5" t="s">
        <v>12</v>
      </c>
      <c r="E11898" s="5" t="s">
        <v>875</v>
      </c>
    </row>
    <row r="11899" spans="1:5" x14ac:dyDescent="0.25">
      <c r="A11899" s="5">
        <f>11891</f>
      </c>
      <c r="B11899" s="5" t="s">
        <v>11166</v>
      </c>
      <c r="C11899" s="5" t="s">
        <v>11</v>
      </c>
      <c r="D11899" s="5" t="s">
        <v>12</v>
      </c>
      <c r="E11899" s="5" t="s">
        <v>2645</v>
      </c>
    </row>
    <row r="11900" spans="1:5" x14ac:dyDescent="0.25">
      <c r="A11900" s="5">
        <f>11892</f>
      </c>
      <c r="B11900" s="5" t="s">
        <v>11167</v>
      </c>
      <c r="C11900" s="5" t="s">
        <v>11</v>
      </c>
      <c r="D11900" s="5" t="s">
        <v>12</v>
      </c>
      <c r="E11900" s="5" t="s">
        <v>2596</v>
      </c>
    </row>
    <row r="11901" spans="1:5" x14ac:dyDescent="0.25">
      <c r="A11901" s="5">
        <f>11893</f>
      </c>
      <c r="B11901" s="5" t="s">
        <v>11168</v>
      </c>
      <c r="C11901" s="5" t="s">
        <v>11</v>
      </c>
      <c r="D11901" s="5" t="s">
        <v>12</v>
      </c>
      <c r="E11901" s="5" t="s">
        <v>775</v>
      </c>
    </row>
    <row r="11902" spans="1:5" x14ac:dyDescent="0.25">
      <c r="A11902" s="5">
        <f>11894</f>
      </c>
      <c r="B11902" s="5" t="s">
        <v>11169</v>
      </c>
      <c r="C11902" s="5" t="s">
        <v>11</v>
      </c>
      <c r="D11902" s="5" t="s">
        <v>12</v>
      </c>
      <c r="E11902" s="5" t="s">
        <v>3690</v>
      </c>
    </row>
    <row r="11903" spans="1:5" x14ac:dyDescent="0.25">
      <c r="A11903" s="5">
        <f>11895</f>
      </c>
      <c r="B11903" s="5" t="s">
        <v>11170</v>
      </c>
      <c r="C11903" s="5" t="s">
        <v>11</v>
      </c>
      <c r="D11903" s="5" t="s">
        <v>12</v>
      </c>
      <c r="E11903" s="5" t="s">
        <v>3674</v>
      </c>
    </row>
    <row r="11904" spans="1:5" x14ac:dyDescent="0.25">
      <c r="A11904" s="5">
        <f>11896</f>
      </c>
      <c r="B11904" s="5" t="s">
        <v>11171</v>
      </c>
      <c r="C11904" s="5" t="s">
        <v>11</v>
      </c>
      <c r="D11904" s="5" t="s">
        <v>12</v>
      </c>
      <c r="E11904" s="5" t="s">
        <v>3879</v>
      </c>
    </row>
    <row r="11905" spans="1:5" x14ac:dyDescent="0.25">
      <c r="A11905" s="5">
        <f>11897</f>
      </c>
      <c r="B11905" s="5" t="s">
        <v>11172</v>
      </c>
      <c r="C11905" s="5" t="s">
        <v>11</v>
      </c>
      <c r="D11905" s="5" t="s">
        <v>12</v>
      </c>
      <c r="E11905" s="5" t="s">
        <v>730</v>
      </c>
    </row>
    <row r="11906" spans="1:5" x14ac:dyDescent="0.25">
      <c r="A11906" s="5">
        <f>11898</f>
      </c>
      <c r="B11906" s="5" t="s">
        <v>11173</v>
      </c>
      <c r="C11906" s="5" t="s">
        <v>11</v>
      </c>
      <c r="D11906" s="5" t="s">
        <v>12</v>
      </c>
      <c r="E11906" s="5" t="s">
        <v>2592</v>
      </c>
    </row>
    <row r="11907" spans="1:5" x14ac:dyDescent="0.25">
      <c r="A11907" s="5">
        <f>11899</f>
      </c>
      <c r="B11907" s="5" t="s">
        <v>11174</v>
      </c>
      <c r="C11907" s="5" t="s">
        <v>11</v>
      </c>
      <c r="D11907" s="5" t="s">
        <v>12</v>
      </c>
      <c r="E11907" s="5" t="s">
        <v>2577</v>
      </c>
    </row>
    <row r="11908" spans="1:5" x14ac:dyDescent="0.25">
      <c r="A11908" s="5">
        <f>11900</f>
      </c>
      <c r="B11908" s="5" t="s">
        <v>11175</v>
      </c>
      <c r="C11908" s="5" t="s">
        <v>11</v>
      </c>
      <c r="D11908" s="5" t="s">
        <v>12</v>
      </c>
      <c r="E11908" s="5" t="s">
        <v>2251</v>
      </c>
    </row>
    <row r="11909" spans="1:5" x14ac:dyDescent="0.25">
      <c r="A11909" s="5">
        <f>11901</f>
      </c>
      <c r="B11909" s="5" t="s">
        <v>11176</v>
      </c>
      <c r="C11909" s="5" t="s">
        <v>11</v>
      </c>
      <c r="D11909" s="5" t="s">
        <v>12</v>
      </c>
      <c r="E11909" s="5" t="s">
        <v>993</v>
      </c>
    </row>
    <row r="11910" spans="1:5" x14ac:dyDescent="0.25">
      <c r="A11910" s="5">
        <f>11902</f>
      </c>
      <c r="B11910" s="5" t="s">
        <v>11177</v>
      </c>
      <c r="C11910" s="5" t="s">
        <v>11</v>
      </c>
      <c r="D11910" s="5" t="s">
        <v>12</v>
      </c>
      <c r="E11910" s="5" t="s">
        <v>993</v>
      </c>
    </row>
    <row r="11911" spans="1:5" x14ac:dyDescent="0.25">
      <c r="A11911" s="5">
        <f>11903</f>
      </c>
      <c r="B11911" s="5" t="s">
        <v>11178</v>
      </c>
      <c r="C11911" s="5" t="s">
        <v>11</v>
      </c>
      <c r="D11911" s="5" t="s">
        <v>12</v>
      </c>
      <c r="E11911" s="5" t="s">
        <v>993</v>
      </c>
    </row>
    <row r="11912" spans="1:5" x14ac:dyDescent="0.25">
      <c r="A11912" s="5">
        <f>11904</f>
      </c>
      <c r="B11912" s="5" t="s">
        <v>11179</v>
      </c>
      <c r="C11912" s="5" t="s">
        <v>11</v>
      </c>
      <c r="D11912" s="5" t="s">
        <v>12</v>
      </c>
      <c r="E11912" s="5" t="s">
        <v>3860</v>
      </c>
    </row>
    <row r="11913" spans="1:5" x14ac:dyDescent="0.25">
      <c r="A11913" s="5">
        <f>11905</f>
      </c>
      <c r="B11913" s="5" t="s">
        <v>11180</v>
      </c>
      <c r="C11913" s="5" t="s">
        <v>11</v>
      </c>
      <c r="D11913" s="5" t="s">
        <v>12</v>
      </c>
      <c r="E11913" s="5" t="s">
        <v>957</v>
      </c>
    </row>
    <row r="11914" spans="1:5" x14ac:dyDescent="0.25">
      <c r="A11914" s="5">
        <f>11906</f>
      </c>
      <c r="B11914" s="5" t="s">
        <v>11181</v>
      </c>
      <c r="C11914" s="5" t="s">
        <v>11</v>
      </c>
      <c r="D11914" s="5" t="s">
        <v>12</v>
      </c>
      <c r="E11914" s="5" t="s">
        <v>2327</v>
      </c>
    </row>
    <row r="11915" spans="1:5" x14ac:dyDescent="0.25">
      <c r="A11915" s="5">
        <f>11907</f>
      </c>
      <c r="B11915" s="5" t="s">
        <v>11182</v>
      </c>
      <c r="C11915" s="5" t="s">
        <v>11</v>
      </c>
      <c r="D11915" s="5" t="s">
        <v>12</v>
      </c>
      <c r="E11915" s="5" t="s">
        <v>1028</v>
      </c>
    </row>
    <row r="11916" spans="1:5" x14ac:dyDescent="0.25">
      <c r="A11916" s="5">
        <f>11908</f>
      </c>
      <c r="B11916" s="5" t="s">
        <v>11183</v>
      </c>
      <c r="C11916" s="5" t="s">
        <v>11</v>
      </c>
      <c r="D11916" s="5" t="s">
        <v>12</v>
      </c>
      <c r="E11916" s="5" t="s">
        <v>2614</v>
      </c>
    </row>
    <row r="11917" spans="1:5" x14ac:dyDescent="0.25">
      <c r="A11917" s="5">
        <f>11909</f>
      </c>
      <c r="B11917" s="5" t="s">
        <v>11184</v>
      </c>
      <c r="C11917" s="5" t="s">
        <v>11</v>
      </c>
      <c r="D11917" s="5" t="s">
        <v>12</v>
      </c>
      <c r="E11917" s="5" t="s">
        <v>3378</v>
      </c>
    </row>
    <row r="11918" spans="1:5" x14ac:dyDescent="0.25">
      <c r="A11918" s="5">
        <f>11910</f>
      </c>
      <c r="B11918" s="5" t="s">
        <v>11185</v>
      </c>
      <c r="C11918" s="5" t="s">
        <v>11</v>
      </c>
      <c r="D11918" s="5" t="s">
        <v>12</v>
      </c>
      <c r="E11918" s="5" t="s">
        <v>4072</v>
      </c>
    </row>
    <row r="11919" spans="1:5" x14ac:dyDescent="0.25">
      <c r="A11919" s="5">
        <f>11911</f>
      </c>
      <c r="B11919" s="5" t="s">
        <v>11186</v>
      </c>
      <c r="C11919" s="5" t="s">
        <v>11</v>
      </c>
      <c r="D11919" s="5" t="s">
        <v>12</v>
      </c>
      <c r="E11919" s="5" t="s">
        <v>4075</v>
      </c>
    </row>
    <row r="11920" spans="1:5" x14ac:dyDescent="0.25">
      <c r="A11920" s="5">
        <f>11912</f>
      </c>
      <c r="B11920" s="5" t="s">
        <v>11187</v>
      </c>
      <c r="C11920" s="5" t="s">
        <v>11</v>
      </c>
      <c r="D11920" s="5" t="s">
        <v>12</v>
      </c>
      <c r="E11920" s="5" t="s">
        <v>823</v>
      </c>
    </row>
    <row r="11921" spans="1:5" x14ac:dyDescent="0.25">
      <c r="A11921" s="5">
        <f>11913</f>
      </c>
      <c r="B11921" s="5" t="s">
        <v>11188</v>
      </c>
      <c r="C11921" s="5" t="s">
        <v>11</v>
      </c>
      <c r="D11921" s="5" t="s">
        <v>12</v>
      </c>
      <c r="E11921" s="5" t="s">
        <v>3520</v>
      </c>
    </row>
    <row r="11922" spans="1:5" x14ac:dyDescent="0.25">
      <c r="A11922" s="5">
        <f>11914</f>
      </c>
      <c r="B11922" s="5" t="s">
        <v>11189</v>
      </c>
      <c r="C11922" s="5" t="s">
        <v>11</v>
      </c>
      <c r="D11922" s="5" t="s">
        <v>12</v>
      </c>
      <c r="E11922" s="5" t="s">
        <v>4289</v>
      </c>
    </row>
    <row r="11923" spans="1:5" x14ac:dyDescent="0.25">
      <c r="A11923" s="5">
        <f>11915</f>
      </c>
      <c r="B11923" s="5" t="s">
        <v>11190</v>
      </c>
      <c r="C11923" s="5" t="s">
        <v>11</v>
      </c>
      <c r="D11923" s="5" t="s">
        <v>12</v>
      </c>
      <c r="E11923" s="5" t="s">
        <v>963</v>
      </c>
    </row>
    <row r="11924" spans="1:5" x14ac:dyDescent="0.25">
      <c r="A11924" s="5">
        <f>11916</f>
      </c>
      <c r="B11924" s="5" t="s">
        <v>11191</v>
      </c>
      <c r="C11924" s="5" t="s">
        <v>11</v>
      </c>
      <c r="D11924" s="5" t="s">
        <v>12</v>
      </c>
      <c r="E11924" s="5" t="s">
        <v>2590</v>
      </c>
    </row>
    <row r="11925" spans="1:5" x14ac:dyDescent="0.25">
      <c r="A11925" s="5">
        <f>11917</f>
      </c>
      <c r="B11925" s="5" t="s">
        <v>11192</v>
      </c>
      <c r="C11925" s="5" t="s">
        <v>11</v>
      </c>
      <c r="D11925" s="5" t="s">
        <v>12</v>
      </c>
      <c r="E11925" s="5" t="s">
        <v>930</v>
      </c>
    </row>
    <row r="11926" spans="1:5" x14ac:dyDescent="0.25">
      <c r="A11926" s="5">
        <f>11918</f>
      </c>
      <c r="B11926" s="5" t="s">
        <v>11193</v>
      </c>
      <c r="C11926" s="5" t="s">
        <v>11</v>
      </c>
      <c r="D11926" s="5" t="s">
        <v>12</v>
      </c>
      <c r="E11926" s="5" t="s">
        <v>945</v>
      </c>
    </row>
    <row r="11927" spans="1:5" x14ac:dyDescent="0.25">
      <c r="A11927" s="5">
        <f>11919</f>
      </c>
      <c r="B11927" s="5" t="s">
        <v>11194</v>
      </c>
      <c r="C11927" s="5" t="s">
        <v>11</v>
      </c>
      <c r="D11927" s="5" t="s">
        <v>12</v>
      </c>
      <c r="E11927" s="5" t="s">
        <v>2309</v>
      </c>
    </row>
    <row r="11928" spans="1:5" x14ac:dyDescent="0.25">
      <c r="A11928" s="5">
        <f>11920</f>
      </c>
      <c r="B11928" s="5" t="s">
        <v>11195</v>
      </c>
      <c r="C11928" s="5" t="s">
        <v>11</v>
      </c>
      <c r="D11928" s="5" t="s">
        <v>12</v>
      </c>
      <c r="E11928" s="5" t="s">
        <v>930</v>
      </c>
    </row>
    <row r="11929" spans="1:5" x14ac:dyDescent="0.25">
      <c r="A11929" s="5">
        <f>11921</f>
      </c>
      <c r="B11929" s="5" t="s">
        <v>11196</v>
      </c>
      <c r="C11929" s="5" t="s">
        <v>11</v>
      </c>
      <c r="D11929" s="5" t="s">
        <v>12</v>
      </c>
      <c r="E11929" s="5" t="s">
        <v>3767</v>
      </c>
    </row>
    <row r="11930" spans="1:5" x14ac:dyDescent="0.25">
      <c r="A11930" s="5">
        <f>11922</f>
      </c>
      <c r="B11930" s="5" t="s">
        <v>11197</v>
      </c>
      <c r="C11930" s="5" t="s">
        <v>11</v>
      </c>
      <c r="D11930" s="5" t="s">
        <v>12</v>
      </c>
      <c r="E11930" s="5" t="s">
        <v>2883</v>
      </c>
    </row>
    <row r="11931" spans="1:5" x14ac:dyDescent="0.25">
      <c r="A11931" s="5">
        <f>11923</f>
      </c>
      <c r="B11931" s="5" t="s">
        <v>11198</v>
      </c>
      <c r="C11931" s="5" t="s">
        <v>11</v>
      </c>
      <c r="D11931" s="5" t="s">
        <v>12</v>
      </c>
      <c r="E11931" s="5" t="s">
        <v>3932</v>
      </c>
    </row>
    <row r="11932" spans="1:5" x14ac:dyDescent="0.25">
      <c r="A11932" s="5">
        <f>11924</f>
      </c>
      <c r="B11932" s="5" t="s">
        <v>11199</v>
      </c>
      <c r="C11932" s="5" t="s">
        <v>11</v>
      </c>
      <c r="D11932" s="5" t="s">
        <v>12</v>
      </c>
      <c r="E11932" s="5" t="s">
        <v>10756</v>
      </c>
    </row>
    <row r="11933" spans="1:5" x14ac:dyDescent="0.25">
      <c r="A11933" s="5">
        <f>11925</f>
      </c>
      <c r="B11933" s="5" t="s">
        <v>11200</v>
      </c>
      <c r="C11933" s="5" t="s">
        <v>11</v>
      </c>
      <c r="D11933" s="5" t="s">
        <v>12</v>
      </c>
      <c r="E11933" s="5" t="s">
        <v>1045</v>
      </c>
    </row>
    <row r="11934" spans="1:5" x14ac:dyDescent="0.25">
      <c r="A11934" s="5">
        <f>11926</f>
      </c>
      <c r="B11934" s="5" t="s">
        <v>11201</v>
      </c>
      <c r="C11934" s="5" t="s">
        <v>11</v>
      </c>
      <c r="D11934" s="5" t="s">
        <v>12</v>
      </c>
      <c r="E11934" s="5" t="s">
        <v>1045</v>
      </c>
    </row>
    <row r="11935" spans="1:5" x14ac:dyDescent="0.25">
      <c r="A11935" s="5">
        <f>11927</f>
      </c>
      <c r="B11935" s="5" t="s">
        <v>11202</v>
      </c>
      <c r="C11935" s="5" t="s">
        <v>11</v>
      </c>
      <c r="D11935" s="5" t="s">
        <v>12</v>
      </c>
      <c r="E11935" s="5" t="s">
        <v>1045</v>
      </c>
    </row>
    <row r="11936" spans="1:5" x14ac:dyDescent="0.25">
      <c r="A11936" s="5">
        <f>11928</f>
      </c>
      <c r="B11936" s="5" t="s">
        <v>11203</v>
      </c>
      <c r="C11936" s="5" t="s">
        <v>11</v>
      </c>
      <c r="D11936" s="5" t="s">
        <v>12</v>
      </c>
      <c r="E11936" s="5" t="s">
        <v>1045</v>
      </c>
    </row>
    <row r="11937" spans="1:5" x14ac:dyDescent="0.25">
      <c r="A11937" s="5">
        <f>11929</f>
      </c>
      <c r="B11937" s="5" t="s">
        <v>11204</v>
      </c>
      <c r="C11937" s="5" t="s">
        <v>11</v>
      </c>
      <c r="D11937" s="5" t="s">
        <v>12</v>
      </c>
      <c r="E11937" s="5" t="s">
        <v>1045</v>
      </c>
    </row>
    <row r="11938" spans="1:5" x14ac:dyDescent="0.25">
      <c r="A11938" s="5">
        <f>11930</f>
      </c>
      <c r="B11938" s="5" t="s">
        <v>11205</v>
      </c>
      <c r="C11938" s="5" t="s">
        <v>11</v>
      </c>
      <c r="D11938" s="5" t="s">
        <v>12</v>
      </c>
      <c r="E11938" s="5" t="s">
        <v>1045</v>
      </c>
    </row>
    <row r="11939" spans="1:5" x14ac:dyDescent="0.25">
      <c r="A11939" s="5">
        <f>11931</f>
      </c>
      <c r="B11939" s="5" t="s">
        <v>11206</v>
      </c>
      <c r="C11939" s="5" t="s">
        <v>11</v>
      </c>
      <c r="D11939" s="5" t="s">
        <v>12</v>
      </c>
      <c r="E11939" s="5" t="s">
        <v>1045</v>
      </c>
    </row>
    <row r="11940" spans="1:5" x14ac:dyDescent="0.25">
      <c r="A11940" s="5">
        <f>11932</f>
      </c>
      <c r="B11940" s="5" t="s">
        <v>11207</v>
      </c>
      <c r="C11940" s="5" t="s">
        <v>11</v>
      </c>
      <c r="D11940" s="5" t="s">
        <v>12</v>
      </c>
      <c r="E11940" s="5" t="s">
        <v>2293</v>
      </c>
    </row>
    <row r="11941" spans="1:5" x14ac:dyDescent="0.25">
      <c r="A11941" s="5">
        <f>11933</f>
      </c>
      <c r="B11941" s="5" t="s">
        <v>11208</v>
      </c>
      <c r="C11941" s="5" t="s">
        <v>11</v>
      </c>
      <c r="D11941" s="5" t="s">
        <v>12</v>
      </c>
      <c r="E11941" s="5" t="s">
        <v>1040</v>
      </c>
    </row>
    <row r="11942" spans="1:5" x14ac:dyDescent="0.25">
      <c r="A11942" s="5">
        <f>11934</f>
      </c>
      <c r="B11942" s="5" t="s">
        <v>11209</v>
      </c>
      <c r="C11942" s="5" t="s">
        <v>11</v>
      </c>
      <c r="D11942" s="5" t="s">
        <v>12</v>
      </c>
      <c r="E11942" s="5" t="s">
        <v>2821</v>
      </c>
    </row>
    <row r="11943" spans="1:5" x14ac:dyDescent="0.25">
      <c r="A11943" s="5">
        <f>11935</f>
      </c>
      <c r="B11943" s="5" t="s">
        <v>11210</v>
      </c>
      <c r="C11943" s="5" t="s">
        <v>11</v>
      </c>
      <c r="D11943" s="5" t="s">
        <v>12</v>
      </c>
      <c r="E11943" s="5" t="s">
        <v>3759</v>
      </c>
    </row>
    <row r="11944" spans="1:5" x14ac:dyDescent="0.25">
      <c r="A11944" s="5">
        <f>11936</f>
      </c>
      <c r="B11944" s="5" t="s">
        <v>11211</v>
      </c>
      <c r="C11944" s="5" t="s">
        <v>11</v>
      </c>
      <c r="D11944" s="5" t="s">
        <v>12</v>
      </c>
      <c r="E11944" s="5" t="s">
        <v>2302</v>
      </c>
    </row>
    <row r="11945" spans="1:5" x14ac:dyDescent="0.25">
      <c r="A11945" s="5">
        <f>11937</f>
      </c>
      <c r="B11945" s="5" t="s">
        <v>11212</v>
      </c>
      <c r="C11945" s="5" t="s">
        <v>11</v>
      </c>
      <c r="D11945" s="5" t="s">
        <v>12</v>
      </c>
      <c r="E11945" s="5" t="s">
        <v>784</v>
      </c>
    </row>
    <row r="11946" spans="1:5" x14ac:dyDescent="0.25">
      <c r="A11946" s="5">
        <f>11938</f>
      </c>
      <c r="B11946" s="5" t="s">
        <v>11213</v>
      </c>
      <c r="C11946" s="5" t="s">
        <v>11</v>
      </c>
      <c r="D11946" s="5" t="s">
        <v>12</v>
      </c>
      <c r="E11946" s="5" t="s">
        <v>2257</v>
      </c>
    </row>
    <row r="11947" spans="1:5" x14ac:dyDescent="0.25">
      <c r="A11947" s="5">
        <f>11939</f>
      </c>
      <c r="B11947" s="5" t="s">
        <v>11214</v>
      </c>
      <c r="C11947" s="5" t="s">
        <v>11</v>
      </c>
      <c r="D11947" s="5" t="s">
        <v>12</v>
      </c>
      <c r="E11947" s="5" t="s">
        <v>3598</v>
      </c>
    </row>
    <row r="11948" spans="1:5" x14ac:dyDescent="0.25">
      <c r="A11948" s="5">
        <f>11940</f>
      </c>
      <c r="B11948" s="5" t="s">
        <v>11215</v>
      </c>
      <c r="C11948" s="5" t="s">
        <v>11</v>
      </c>
      <c r="D11948" s="5" t="s">
        <v>12</v>
      </c>
      <c r="E11948" s="5" t="s">
        <v>3598</v>
      </c>
    </row>
    <row r="11949" spans="1:5" x14ac:dyDescent="0.25">
      <c r="A11949" s="5">
        <f>11941</f>
      </c>
      <c r="B11949" s="5" t="s">
        <v>11216</v>
      </c>
      <c r="C11949" s="5" t="s">
        <v>11</v>
      </c>
      <c r="D11949" s="5" t="s">
        <v>12</v>
      </c>
      <c r="E11949" s="5" t="s">
        <v>2394</v>
      </c>
    </row>
    <row r="11950" spans="1:5" x14ac:dyDescent="0.25">
      <c r="A11950" s="5">
        <f>11942</f>
      </c>
      <c r="B11950" s="5" t="s">
        <v>11217</v>
      </c>
      <c r="C11950" s="5" t="s">
        <v>11</v>
      </c>
      <c r="D11950" s="5" t="s">
        <v>12</v>
      </c>
      <c r="E11950" s="5" t="s">
        <v>2325</v>
      </c>
    </row>
    <row r="11951" spans="1:5" x14ac:dyDescent="0.25">
      <c r="A11951" s="5">
        <f>11943</f>
      </c>
      <c r="B11951" s="5" t="s">
        <v>11218</v>
      </c>
      <c r="C11951" s="5" t="s">
        <v>11</v>
      </c>
      <c r="D11951" s="5" t="s">
        <v>12</v>
      </c>
      <c r="E11951" s="5" t="s">
        <v>2819</v>
      </c>
    </row>
    <row r="11952" spans="1:5" x14ac:dyDescent="0.25">
      <c r="A11952" s="5">
        <f>11944</f>
      </c>
      <c r="B11952" s="5" t="s">
        <v>11219</v>
      </c>
      <c r="C11952" s="5" t="s">
        <v>11</v>
      </c>
      <c r="D11952" s="5" t="s">
        <v>12</v>
      </c>
      <c r="E11952" s="5" t="s">
        <v>2819</v>
      </c>
    </row>
    <row r="11953" spans="1:5" x14ac:dyDescent="0.25">
      <c r="A11953" s="5">
        <f>11945</f>
      </c>
      <c r="B11953" s="5" t="s">
        <v>11220</v>
      </c>
      <c r="C11953" s="5" t="s">
        <v>11</v>
      </c>
      <c r="D11953" s="5" t="s">
        <v>12</v>
      </c>
      <c r="E11953" s="5" t="s">
        <v>3561</v>
      </c>
    </row>
    <row r="11954" spans="1:5" x14ac:dyDescent="0.25">
      <c r="A11954" s="5">
        <f>11946</f>
      </c>
      <c r="B11954" s="5" t="s">
        <v>11221</v>
      </c>
      <c r="C11954" s="5" t="s">
        <v>11</v>
      </c>
      <c r="D11954" s="5" t="s">
        <v>12</v>
      </c>
      <c r="E11954" s="5" t="s">
        <v>2386</v>
      </c>
    </row>
    <row r="11955" spans="1:5" x14ac:dyDescent="0.25">
      <c r="A11955" s="5">
        <f>11947</f>
      </c>
      <c r="B11955" s="5" t="s">
        <v>11222</v>
      </c>
      <c r="C11955" s="5" t="s">
        <v>11</v>
      </c>
      <c r="D11955" s="5" t="s">
        <v>12</v>
      </c>
      <c r="E11955" s="5" t="s">
        <v>2883</v>
      </c>
    </row>
    <row r="11956" spans="1:5" x14ac:dyDescent="0.25">
      <c r="A11956" s="5">
        <f>11948</f>
      </c>
      <c r="B11956" s="5" t="s">
        <v>11223</v>
      </c>
      <c r="C11956" s="5" t="s">
        <v>11</v>
      </c>
      <c r="D11956" s="5" t="s">
        <v>12</v>
      </c>
      <c r="E11956" s="5" t="s">
        <v>2883</v>
      </c>
    </row>
    <row r="11957" spans="1:5" x14ac:dyDescent="0.25">
      <c r="A11957" s="5">
        <f>11949</f>
      </c>
      <c r="B11957" s="5" t="s">
        <v>11224</v>
      </c>
      <c r="C11957" s="5" t="s">
        <v>11</v>
      </c>
      <c r="D11957" s="5" t="s">
        <v>12</v>
      </c>
      <c r="E11957" s="5" t="s">
        <v>2331</v>
      </c>
    </row>
    <row r="11958" spans="1:5" x14ac:dyDescent="0.25">
      <c r="A11958" s="5">
        <f>11950</f>
      </c>
      <c r="B11958" s="5" t="s">
        <v>11225</v>
      </c>
      <c r="C11958" s="5" t="s">
        <v>11</v>
      </c>
      <c r="D11958" s="5" t="s">
        <v>12</v>
      </c>
      <c r="E11958" s="5" t="s">
        <v>2577</v>
      </c>
    </row>
    <row r="11959" spans="1:5" x14ac:dyDescent="0.25">
      <c r="A11959" s="5">
        <f>11951</f>
      </c>
      <c r="B11959" s="5" t="s">
        <v>11226</v>
      </c>
      <c r="C11959" s="5" t="s">
        <v>11</v>
      </c>
      <c r="D11959" s="5" t="s">
        <v>12</v>
      </c>
      <c r="E11959" s="5" t="s">
        <v>941</v>
      </c>
    </row>
    <row r="11960" spans="1:5" x14ac:dyDescent="0.25">
      <c r="A11960" s="5">
        <f>11952</f>
      </c>
      <c r="B11960" s="5" t="s">
        <v>11227</v>
      </c>
      <c r="C11960" s="5" t="s">
        <v>11</v>
      </c>
      <c r="D11960" s="5" t="s">
        <v>12</v>
      </c>
      <c r="E11960" s="5" t="s">
        <v>734</v>
      </c>
    </row>
    <row r="11961" spans="1:5" x14ac:dyDescent="0.25">
      <c r="A11961" s="5">
        <f>11953</f>
      </c>
      <c r="B11961" s="5" t="s">
        <v>11228</v>
      </c>
      <c r="C11961" s="5" t="s">
        <v>11</v>
      </c>
      <c r="D11961" s="5" t="s">
        <v>12</v>
      </c>
      <c r="E11961" s="5" t="s">
        <v>734</v>
      </c>
    </row>
    <row r="11962" spans="1:5" x14ac:dyDescent="0.25">
      <c r="A11962" s="5">
        <f>11954</f>
      </c>
      <c r="B11962" s="5" t="s">
        <v>11229</v>
      </c>
      <c r="C11962" s="5" t="s">
        <v>11</v>
      </c>
      <c r="D11962" s="5" t="s">
        <v>12</v>
      </c>
      <c r="E11962" s="5" t="s">
        <v>718</v>
      </c>
    </row>
    <row r="11963" spans="1:5" x14ac:dyDescent="0.25">
      <c r="A11963" s="5">
        <f>11955</f>
      </c>
      <c r="B11963" s="5" t="s">
        <v>11230</v>
      </c>
      <c r="C11963" s="5" t="s">
        <v>11</v>
      </c>
      <c r="D11963" s="5" t="s">
        <v>12</v>
      </c>
      <c r="E11963" s="5" t="s">
        <v>718</v>
      </c>
    </row>
    <row r="11964" spans="1:5" x14ac:dyDescent="0.25">
      <c r="A11964" s="5">
        <f>11956</f>
      </c>
      <c r="B11964" s="5" t="s">
        <v>11231</v>
      </c>
      <c r="C11964" s="5" t="s">
        <v>11</v>
      </c>
      <c r="D11964" s="5" t="s">
        <v>12</v>
      </c>
      <c r="E11964" s="5" t="s">
        <v>4286</v>
      </c>
    </row>
    <row r="11965" spans="1:5" x14ac:dyDescent="0.25">
      <c r="A11965" s="5">
        <f>11957</f>
      </c>
      <c r="B11965" s="5" t="s">
        <v>11232</v>
      </c>
      <c r="C11965" s="5" t="s">
        <v>11</v>
      </c>
      <c r="D11965" s="5" t="s">
        <v>12</v>
      </c>
      <c r="E11965" s="5" t="s">
        <v>2381</v>
      </c>
    </row>
    <row r="11966" spans="1:5" x14ac:dyDescent="0.25">
      <c r="A11966" s="5">
        <f>11958</f>
      </c>
      <c r="B11966" s="5" t="s">
        <v>11233</v>
      </c>
      <c r="C11966" s="5" t="s">
        <v>11</v>
      </c>
      <c r="D11966" s="5" t="s">
        <v>12</v>
      </c>
      <c r="E11966" s="5" t="s">
        <v>2381</v>
      </c>
    </row>
    <row r="11967" spans="1:5" x14ac:dyDescent="0.25">
      <c r="A11967" s="5">
        <f>11959</f>
      </c>
      <c r="B11967" s="5" t="s">
        <v>11234</v>
      </c>
      <c r="C11967" s="5" t="s">
        <v>11</v>
      </c>
      <c r="D11967" s="5" t="s">
        <v>12</v>
      </c>
      <c r="E11967" s="5" t="s">
        <v>1025</v>
      </c>
    </row>
    <row r="11968" spans="1:5" x14ac:dyDescent="0.25">
      <c r="A11968" s="5">
        <f>11960</f>
      </c>
      <c r="B11968" s="5" t="s">
        <v>11235</v>
      </c>
      <c r="C11968" s="5" t="s">
        <v>11</v>
      </c>
      <c r="D11968" s="5" t="s">
        <v>12</v>
      </c>
      <c r="E11968" s="5" t="s">
        <v>2241</v>
      </c>
    </row>
    <row r="11969" spans="1:5" x14ac:dyDescent="0.25">
      <c r="A11969" s="5">
        <f>11961</f>
      </c>
      <c r="B11969" s="5" t="s">
        <v>11236</v>
      </c>
      <c r="C11969" s="5" t="s">
        <v>11</v>
      </c>
      <c r="D11969" s="5" t="s">
        <v>12</v>
      </c>
      <c r="E11969" s="5" t="s">
        <v>2300</v>
      </c>
    </row>
    <row r="11970" spans="1:5" x14ac:dyDescent="0.25">
      <c r="A11970" s="5">
        <f>11962</f>
      </c>
      <c r="B11970" s="5" t="s">
        <v>11237</v>
      </c>
      <c r="C11970" s="5" t="s">
        <v>11</v>
      </c>
      <c r="D11970" s="5" t="s">
        <v>12</v>
      </c>
      <c r="E11970" s="5" t="s">
        <v>2327</v>
      </c>
    </row>
    <row r="11971" spans="1:5" x14ac:dyDescent="0.25">
      <c r="A11971" s="5">
        <f>11963</f>
      </c>
      <c r="B11971" s="5" t="s">
        <v>11238</v>
      </c>
      <c r="C11971" s="5" t="s">
        <v>11</v>
      </c>
      <c r="D11971" s="5" t="s">
        <v>12</v>
      </c>
      <c r="E11971" s="5" t="s">
        <v>921</v>
      </c>
    </row>
    <row r="11972" spans="1:5" x14ac:dyDescent="0.25">
      <c r="A11972" s="5">
        <f>11964</f>
      </c>
      <c r="B11972" s="5" t="s">
        <v>11239</v>
      </c>
      <c r="C11972" s="5" t="s">
        <v>11</v>
      </c>
      <c r="D11972" s="5" t="s">
        <v>12</v>
      </c>
      <c r="E11972" s="5" t="s">
        <v>3962</v>
      </c>
    </row>
    <row r="11973" spans="1:5" x14ac:dyDescent="0.25">
      <c r="A11973" s="5">
        <f>11965</f>
      </c>
      <c r="B11973" s="5" t="s">
        <v>11240</v>
      </c>
      <c r="C11973" s="5" t="s">
        <v>11</v>
      </c>
      <c r="D11973" s="5" t="s">
        <v>12</v>
      </c>
      <c r="E11973" s="5" t="s">
        <v>2588</v>
      </c>
    </row>
    <row r="11974" spans="1:5" x14ac:dyDescent="0.25">
      <c r="A11974" s="5">
        <f>11966</f>
      </c>
      <c r="B11974" s="5" t="s">
        <v>11241</v>
      </c>
      <c r="C11974" s="5" t="s">
        <v>11</v>
      </c>
      <c r="D11974" s="5" t="s">
        <v>12</v>
      </c>
      <c r="E11974" s="5" t="s">
        <v>4120</v>
      </c>
    </row>
    <row r="11975" spans="1:5" x14ac:dyDescent="0.25">
      <c r="A11975" s="5">
        <f>11967</f>
      </c>
      <c r="B11975" s="5" t="s">
        <v>11242</v>
      </c>
      <c r="C11975" s="5" t="s">
        <v>11</v>
      </c>
      <c r="D11975" s="5" t="s">
        <v>12</v>
      </c>
      <c r="E11975" s="5" t="s">
        <v>2639</v>
      </c>
    </row>
    <row r="11976" spans="1:5" x14ac:dyDescent="0.25">
      <c r="A11976" s="5">
        <f>11968</f>
      </c>
      <c r="B11976" s="5" t="s">
        <v>11243</v>
      </c>
      <c r="C11976" s="5" t="s">
        <v>11</v>
      </c>
      <c r="D11976" s="5" t="s">
        <v>12</v>
      </c>
      <c r="E11976" s="5" t="s">
        <v>1051</v>
      </c>
    </row>
    <row r="11977" spans="1:5" x14ac:dyDescent="0.25">
      <c r="A11977" s="5">
        <f>11969</f>
      </c>
      <c r="B11977" s="5" t="s">
        <v>11244</v>
      </c>
      <c r="C11977" s="5" t="s">
        <v>11</v>
      </c>
      <c r="D11977" s="5" t="s">
        <v>12</v>
      </c>
      <c r="E11977" s="5" t="s">
        <v>1051</v>
      </c>
    </row>
    <row r="11978" spans="1:5" x14ac:dyDescent="0.25">
      <c r="A11978" s="5">
        <f>11970</f>
      </c>
      <c r="B11978" s="5" t="s">
        <v>11245</v>
      </c>
      <c r="C11978" s="5" t="s">
        <v>11</v>
      </c>
      <c r="D11978" s="5" t="s">
        <v>12</v>
      </c>
      <c r="E11978" s="5" t="s">
        <v>840</v>
      </c>
    </row>
    <row r="11979" spans="1:5" x14ac:dyDescent="0.25">
      <c r="A11979" s="5">
        <f>11971</f>
      </c>
      <c r="B11979" s="5" t="s">
        <v>11246</v>
      </c>
      <c r="C11979" s="5" t="s">
        <v>11</v>
      </c>
      <c r="D11979" s="5" t="s">
        <v>12</v>
      </c>
      <c r="E11979" s="5" t="s">
        <v>2304</v>
      </c>
    </row>
    <row r="11980" spans="1:5" x14ac:dyDescent="0.25">
      <c r="A11980" s="5">
        <f>11972</f>
      </c>
      <c r="B11980" s="5" t="s">
        <v>11247</v>
      </c>
      <c r="C11980" s="5" t="s">
        <v>11</v>
      </c>
      <c r="D11980" s="5" t="s">
        <v>12</v>
      </c>
      <c r="E11980" s="5" t="s">
        <v>10562</v>
      </c>
    </row>
    <row r="11981" spans="1:5" x14ac:dyDescent="0.25">
      <c r="A11981" s="5">
        <f>11973</f>
      </c>
      <c r="B11981" s="5" t="s">
        <v>11248</v>
      </c>
      <c r="C11981" s="5" t="s">
        <v>11</v>
      </c>
      <c r="D11981" s="5" t="s">
        <v>12</v>
      </c>
      <c r="E11981" s="5" t="s">
        <v>10562</v>
      </c>
    </row>
    <row r="11982" spans="1:5" x14ac:dyDescent="0.25">
      <c r="A11982" s="5">
        <f>11974</f>
      </c>
      <c r="B11982" s="5" t="s">
        <v>11249</v>
      </c>
      <c r="C11982" s="5" t="s">
        <v>11</v>
      </c>
      <c r="D11982" s="5" t="s">
        <v>12</v>
      </c>
      <c r="E11982" s="5" t="s">
        <v>2598</v>
      </c>
    </row>
    <row r="11983" spans="1:5" x14ac:dyDescent="0.25">
      <c r="A11983" s="5">
        <f>11975</f>
      </c>
      <c r="B11983" s="5" t="s">
        <v>11250</v>
      </c>
      <c r="C11983" s="5" t="s">
        <v>11</v>
      </c>
      <c r="D11983" s="5" t="s">
        <v>12</v>
      </c>
      <c r="E11983" s="5" t="s">
        <v>2816</v>
      </c>
    </row>
    <row r="11984" spans="1:5" x14ac:dyDescent="0.25">
      <c r="A11984" s="5">
        <f>11976</f>
      </c>
      <c r="B11984" s="5" t="s">
        <v>11251</v>
      </c>
      <c r="C11984" s="5" t="s">
        <v>11</v>
      </c>
      <c r="D11984" s="5" t="s">
        <v>12</v>
      </c>
      <c r="E11984" s="5" t="s">
        <v>882</v>
      </c>
    </row>
    <row r="11985" spans="1:5" x14ac:dyDescent="0.25">
      <c r="A11985" s="5">
        <f>11977</f>
      </c>
      <c r="B11985" s="5" t="s">
        <v>11252</v>
      </c>
      <c r="C11985" s="5" t="s">
        <v>11</v>
      </c>
      <c r="D11985" s="5" t="s">
        <v>12</v>
      </c>
      <c r="E11985" s="5" t="s">
        <v>941</v>
      </c>
    </row>
    <row r="11986" spans="1:5" x14ac:dyDescent="0.25">
      <c r="A11986" s="5">
        <f>11978</f>
      </c>
      <c r="B11986" s="5" t="s">
        <v>11253</v>
      </c>
      <c r="C11986" s="5" t="s">
        <v>11</v>
      </c>
      <c r="D11986" s="5" t="s">
        <v>12</v>
      </c>
      <c r="E11986" s="5" t="s">
        <v>941</v>
      </c>
    </row>
    <row r="11987" spans="1:5" x14ac:dyDescent="0.25">
      <c r="A11987" s="5">
        <f>11979</f>
      </c>
      <c r="B11987" s="5" t="s">
        <v>11254</v>
      </c>
      <c r="C11987" s="5" t="s">
        <v>11</v>
      </c>
      <c r="D11987" s="5" t="s">
        <v>12</v>
      </c>
      <c r="E11987" s="5" t="s">
        <v>4142</v>
      </c>
    </row>
    <row r="11988" spans="1:5" x14ac:dyDescent="0.25">
      <c r="A11988" s="5">
        <f>11980</f>
      </c>
      <c r="B11988" s="5" t="s">
        <v>11255</v>
      </c>
      <c r="C11988" s="5" t="s">
        <v>11</v>
      </c>
      <c r="D11988" s="5" t="s">
        <v>12</v>
      </c>
      <c r="E11988" s="5" t="s">
        <v>10618</v>
      </c>
    </row>
    <row r="11989" spans="1:5" x14ac:dyDescent="0.25">
      <c r="A11989" s="5">
        <f>11981</f>
      </c>
      <c r="B11989" s="5" t="s">
        <v>11256</v>
      </c>
      <c r="C11989" s="5" t="s">
        <v>11</v>
      </c>
      <c r="D11989" s="5" t="s">
        <v>12</v>
      </c>
      <c r="E11989" s="5" t="s">
        <v>10622</v>
      </c>
    </row>
    <row r="11990" spans="1:5" x14ac:dyDescent="0.25">
      <c r="A11990" s="5">
        <f>11982</f>
      </c>
      <c r="B11990" s="5" t="s">
        <v>11257</v>
      </c>
      <c r="C11990" s="5" t="s">
        <v>11</v>
      </c>
      <c r="D11990" s="5" t="s">
        <v>12</v>
      </c>
      <c r="E11990" s="5" t="s">
        <v>10622</v>
      </c>
    </row>
    <row r="11991" spans="1:5" x14ac:dyDescent="0.25">
      <c r="A11991" s="5">
        <f>11983</f>
      </c>
      <c r="B11991" s="5" t="s">
        <v>11258</v>
      </c>
      <c r="C11991" s="5" t="s">
        <v>11</v>
      </c>
      <c r="D11991" s="5" t="s">
        <v>12</v>
      </c>
      <c r="E11991" s="5" t="s">
        <v>3924</v>
      </c>
    </row>
    <row r="11992" spans="1:5" x14ac:dyDescent="0.25">
      <c r="A11992" s="5">
        <f>11984</f>
      </c>
      <c r="B11992" s="5" t="s">
        <v>11259</v>
      </c>
      <c r="C11992" s="5" t="s">
        <v>11</v>
      </c>
      <c r="D11992" s="5" t="s">
        <v>12</v>
      </c>
      <c r="E11992" s="5" t="s">
        <v>4066</v>
      </c>
    </row>
    <row r="11993" spans="1:5" x14ac:dyDescent="0.25">
      <c r="A11993" s="5">
        <f>11985</f>
      </c>
      <c r="B11993" s="5" t="s">
        <v>11260</v>
      </c>
      <c r="C11993" s="5" t="s">
        <v>11</v>
      </c>
      <c r="D11993" s="5" t="s">
        <v>12</v>
      </c>
      <c r="E11993" s="5" t="s">
        <v>4066</v>
      </c>
    </row>
    <row r="11994" spans="1:5" x14ac:dyDescent="0.25">
      <c r="A11994" s="5">
        <f>11986</f>
      </c>
      <c r="B11994" s="5" t="s">
        <v>11261</v>
      </c>
      <c r="C11994" s="5" t="s">
        <v>11</v>
      </c>
      <c r="D11994" s="5" t="s">
        <v>12</v>
      </c>
      <c r="E11994" s="5" t="s">
        <v>853</v>
      </c>
    </row>
    <row r="11995" spans="1:5" x14ac:dyDescent="0.25">
      <c r="A11995" s="5">
        <f>11987</f>
      </c>
      <c r="B11995" s="5" t="s">
        <v>11262</v>
      </c>
      <c r="C11995" s="5" t="s">
        <v>11</v>
      </c>
      <c r="D11995" s="5" t="s">
        <v>12</v>
      </c>
      <c r="E11995" s="5" t="s">
        <v>3962</v>
      </c>
    </row>
    <row r="11996" spans="1:5" x14ac:dyDescent="0.25">
      <c r="A11996" s="5">
        <f>11988</f>
      </c>
      <c r="B11996" s="5" t="s">
        <v>11263</v>
      </c>
      <c r="C11996" s="5" t="s">
        <v>11</v>
      </c>
      <c r="D11996" s="5" t="s">
        <v>12</v>
      </c>
      <c r="E11996" s="5" t="s">
        <v>3962</v>
      </c>
    </row>
    <row r="11997" spans="1:5" x14ac:dyDescent="0.25">
      <c r="A11997" s="5">
        <f>11989</f>
      </c>
      <c r="B11997" s="5" t="s">
        <v>11264</v>
      </c>
      <c r="C11997" s="5" t="s">
        <v>11</v>
      </c>
      <c r="D11997" s="5" t="s">
        <v>12</v>
      </c>
      <c r="E11997" s="5" t="s">
        <v>3962</v>
      </c>
    </row>
    <row r="11998" spans="1:5" x14ac:dyDescent="0.25">
      <c r="A11998" s="5">
        <f>11990</f>
      </c>
      <c r="B11998" s="5" t="s">
        <v>11265</v>
      </c>
      <c r="C11998" s="5" t="s">
        <v>11</v>
      </c>
      <c r="D11998" s="5" t="s">
        <v>12</v>
      </c>
      <c r="E11998" s="5" t="s">
        <v>2325</v>
      </c>
    </row>
    <row r="11999" spans="1:5" x14ac:dyDescent="0.25">
      <c r="A11999" s="5">
        <f>11991</f>
      </c>
      <c r="B11999" s="5" t="s">
        <v>11266</v>
      </c>
      <c r="C11999" s="5" t="s">
        <v>11</v>
      </c>
      <c r="D11999" s="5" t="s">
        <v>12</v>
      </c>
      <c r="E11999" s="5" t="s">
        <v>835</v>
      </c>
    </row>
    <row r="12000" spans="1:5" x14ac:dyDescent="0.25">
      <c r="A12000" s="5">
        <f>11992</f>
      </c>
      <c r="B12000" s="5" t="s">
        <v>11267</v>
      </c>
      <c r="C12000" s="5" t="s">
        <v>11</v>
      </c>
      <c r="D12000" s="5" t="s">
        <v>12</v>
      </c>
      <c r="E12000" s="5" t="s">
        <v>2634</v>
      </c>
    </row>
    <row r="12001" spans="1:5" x14ac:dyDescent="0.25">
      <c r="A12001" s="5">
        <f>11993</f>
      </c>
      <c r="B12001" s="5" t="s">
        <v>11268</v>
      </c>
      <c r="C12001" s="5" t="s">
        <v>11</v>
      </c>
      <c r="D12001" s="5" t="s">
        <v>12</v>
      </c>
      <c r="E12001" s="5" t="s">
        <v>3869</v>
      </c>
    </row>
    <row r="12002" spans="1:5" x14ac:dyDescent="0.25">
      <c r="A12002" s="5">
        <f>11994</f>
      </c>
      <c r="B12002" s="5" t="s">
        <v>11269</v>
      </c>
      <c r="C12002" s="5" t="s">
        <v>11</v>
      </c>
      <c r="D12002" s="5" t="s">
        <v>12</v>
      </c>
      <c r="E12002" s="5" t="s">
        <v>3438</v>
      </c>
    </row>
    <row r="12003" spans="1:5" x14ac:dyDescent="0.25">
      <c r="A12003" s="5">
        <f>11995</f>
      </c>
      <c r="B12003" s="5" t="s">
        <v>11270</v>
      </c>
      <c r="C12003" s="5" t="s">
        <v>11</v>
      </c>
      <c r="D12003" s="5" t="s">
        <v>12</v>
      </c>
      <c r="E12003" s="5" t="s">
        <v>1040</v>
      </c>
    </row>
    <row r="12004" spans="1:5" x14ac:dyDescent="0.25">
      <c r="A12004" s="5">
        <f>11996</f>
      </c>
      <c r="B12004" s="5" t="s">
        <v>11271</v>
      </c>
      <c r="C12004" s="5" t="s">
        <v>11</v>
      </c>
      <c r="D12004" s="5" t="s">
        <v>12</v>
      </c>
      <c r="E12004" s="5" t="s">
        <v>2577</v>
      </c>
    </row>
    <row r="12005" spans="1:5" x14ac:dyDescent="0.25">
      <c r="A12005" s="5">
        <f>11997</f>
      </c>
      <c r="B12005" s="5" t="s">
        <v>11272</v>
      </c>
      <c r="C12005" s="5" t="s">
        <v>11</v>
      </c>
      <c r="D12005" s="5" t="s">
        <v>12</v>
      </c>
      <c r="E12005" s="5" t="s">
        <v>732</v>
      </c>
    </row>
    <row r="12006" spans="1:5" x14ac:dyDescent="0.25">
      <c r="A12006" s="5">
        <f>11998</f>
      </c>
      <c r="B12006" s="5" t="s">
        <v>11273</v>
      </c>
      <c r="C12006" s="5" t="s">
        <v>11</v>
      </c>
      <c r="D12006" s="5" t="s">
        <v>12</v>
      </c>
      <c r="E12006" s="5" t="s">
        <v>3520</v>
      </c>
    </row>
    <row r="12007" spans="1:5" x14ac:dyDescent="0.25">
      <c r="A12007" s="5">
        <f>11999</f>
      </c>
      <c r="B12007" s="5" t="s">
        <v>11274</v>
      </c>
      <c r="C12007" s="5" t="s">
        <v>11</v>
      </c>
      <c r="D12007" s="5" t="s">
        <v>12</v>
      </c>
      <c r="E12007" s="5" t="s">
        <v>1034</v>
      </c>
    </row>
    <row r="12008" spans="1:5" x14ac:dyDescent="0.25">
      <c r="A12008" s="5">
        <f>12000</f>
      </c>
      <c r="B12008" s="5" t="s">
        <v>11275</v>
      </c>
      <c r="C12008" s="5" t="s">
        <v>11</v>
      </c>
      <c r="D12008" s="5" t="s">
        <v>12</v>
      </c>
      <c r="E12008" s="5" t="s">
        <v>4039</v>
      </c>
    </row>
    <row r="12009" spans="1:5" x14ac:dyDescent="0.25">
      <c r="A12009" s="5">
        <f>12001</f>
      </c>
      <c r="B12009" s="5" t="s">
        <v>11276</v>
      </c>
      <c r="C12009" s="5" t="s">
        <v>11</v>
      </c>
      <c r="D12009" s="5" t="s">
        <v>12</v>
      </c>
      <c r="E12009" s="5" t="s">
        <v>3367</v>
      </c>
    </row>
    <row r="12010" spans="1:5" x14ac:dyDescent="0.25">
      <c r="A12010" s="5">
        <f>12002</f>
      </c>
      <c r="B12010" s="5" t="s">
        <v>11277</v>
      </c>
      <c r="C12010" s="5" t="s">
        <v>11</v>
      </c>
      <c r="D12010" s="5" t="s">
        <v>12</v>
      </c>
      <c r="E12010" s="5" t="s">
        <v>3723</v>
      </c>
    </row>
    <row r="12011" spans="1:5" x14ac:dyDescent="0.25">
      <c r="A12011" s="5">
        <f>12003</f>
      </c>
      <c r="B12011" s="5" t="s">
        <v>11278</v>
      </c>
      <c r="C12011" s="5" t="s">
        <v>11</v>
      </c>
      <c r="D12011" s="5" t="s">
        <v>12</v>
      </c>
      <c r="E12011" s="5" t="s">
        <v>10660</v>
      </c>
    </row>
    <row r="12012" spans="1:5" x14ac:dyDescent="0.25">
      <c r="A12012" s="5">
        <f>12004</f>
      </c>
      <c r="B12012" s="5" t="s">
        <v>11279</v>
      </c>
      <c r="C12012" s="5" t="s">
        <v>11</v>
      </c>
      <c r="D12012" s="5" t="s">
        <v>12</v>
      </c>
      <c r="E12012" s="5" t="s">
        <v>4132</v>
      </c>
    </row>
    <row r="12013" spans="1:5" x14ac:dyDescent="0.25">
      <c r="A12013" s="5">
        <f>12005</f>
      </c>
      <c r="B12013" s="5" t="s">
        <v>11280</v>
      </c>
      <c r="C12013" s="5" t="s">
        <v>11</v>
      </c>
      <c r="D12013" s="5" t="s">
        <v>12</v>
      </c>
      <c r="E12013" s="5" t="s">
        <v>2754</v>
      </c>
    </row>
    <row r="12014" spans="1:5" x14ac:dyDescent="0.25">
      <c r="A12014" s="5">
        <f>12006</f>
      </c>
      <c r="B12014" s="5" t="s">
        <v>11281</v>
      </c>
      <c r="C12014" s="5" t="s">
        <v>11</v>
      </c>
      <c r="D12014" s="5" t="s">
        <v>12</v>
      </c>
      <c r="E12014" s="5" t="s">
        <v>3496</v>
      </c>
    </row>
    <row r="12015" spans="1:5" x14ac:dyDescent="0.25">
      <c r="A12015" s="5">
        <f>12007</f>
      </c>
      <c r="B12015" s="5" t="s">
        <v>11282</v>
      </c>
      <c r="C12015" s="5" t="s">
        <v>11</v>
      </c>
      <c r="D12015" s="5" t="s">
        <v>12</v>
      </c>
      <c r="E12015" s="5" t="s">
        <v>2322</v>
      </c>
    </row>
    <row r="12016" spans="1:5" x14ac:dyDescent="0.25">
      <c r="A12016" s="5">
        <f>12008</f>
      </c>
      <c r="B12016" s="5" t="s">
        <v>11283</v>
      </c>
      <c r="C12016" s="5" t="s">
        <v>11</v>
      </c>
      <c r="D12016" s="5" t="s">
        <v>12</v>
      </c>
      <c r="E12016" s="5" t="s">
        <v>832</v>
      </c>
    </row>
    <row r="12017" spans="1:5" x14ac:dyDescent="0.25">
      <c r="A12017" s="5">
        <f>12009</f>
      </c>
      <c r="B12017" s="5" t="s">
        <v>11284</v>
      </c>
      <c r="C12017" s="5" t="s">
        <v>11</v>
      </c>
      <c r="D12017" s="5" t="s">
        <v>12</v>
      </c>
      <c r="E12017" s="5" t="s">
        <v>3697</v>
      </c>
    </row>
    <row r="12018" spans="1:5" x14ac:dyDescent="0.25">
      <c r="A12018" s="5">
        <f>12010</f>
      </c>
      <c r="B12018" s="5" t="s">
        <v>11285</v>
      </c>
      <c r="C12018" s="5" t="s">
        <v>11</v>
      </c>
      <c r="D12018" s="5" t="s">
        <v>12</v>
      </c>
      <c r="E12018" s="5" t="s">
        <v>3520</v>
      </c>
    </row>
    <row r="12019" spans="1:5" x14ac:dyDescent="0.25">
      <c r="A12019" s="5">
        <f>12011</f>
      </c>
      <c r="B12019" s="5" t="s">
        <v>11286</v>
      </c>
      <c r="C12019" s="5" t="s">
        <v>11</v>
      </c>
      <c r="D12019" s="5" t="s">
        <v>12</v>
      </c>
      <c r="E12019" s="5" t="s">
        <v>4164</v>
      </c>
    </row>
    <row r="12020" spans="1:5" x14ac:dyDescent="0.25">
      <c r="A12020" s="5">
        <f>12012</f>
      </c>
      <c r="B12020" s="5" t="s">
        <v>11287</v>
      </c>
      <c r="C12020" s="5" t="s">
        <v>11</v>
      </c>
      <c r="D12020" s="5" t="s">
        <v>12</v>
      </c>
      <c r="E12020" s="5" t="s">
        <v>3571</v>
      </c>
    </row>
    <row r="12021" spans="1:5" x14ac:dyDescent="0.25">
      <c r="A12021" s="5">
        <f>12013</f>
      </c>
      <c r="B12021" s="5" t="s">
        <v>11288</v>
      </c>
      <c r="C12021" s="5" t="s">
        <v>11</v>
      </c>
      <c r="D12021" s="5" t="s">
        <v>12</v>
      </c>
      <c r="E12021" s="5" t="s">
        <v>778</v>
      </c>
    </row>
    <row r="12022" spans="1:5" x14ac:dyDescent="0.25">
      <c r="A12022" s="5">
        <f>12014</f>
      </c>
      <c r="B12022" s="5" t="s">
        <v>11289</v>
      </c>
      <c r="C12022" s="5" t="s">
        <v>11</v>
      </c>
      <c r="D12022" s="5" t="s">
        <v>12</v>
      </c>
      <c r="E12022" s="5" t="s">
        <v>3927</v>
      </c>
    </row>
    <row r="12023" spans="1:5" x14ac:dyDescent="0.25">
      <c r="A12023" s="5">
        <f>12015</f>
      </c>
      <c r="B12023" s="5" t="s">
        <v>11290</v>
      </c>
      <c r="C12023" s="5" t="s">
        <v>11</v>
      </c>
      <c r="D12023" s="5" t="s">
        <v>12</v>
      </c>
      <c r="E12023" s="5" t="s">
        <v>10843</v>
      </c>
    </row>
    <row r="12024" spans="1:5" x14ac:dyDescent="0.25">
      <c r="A12024" s="5">
        <f>12016</f>
      </c>
      <c r="B12024" s="5" t="s">
        <v>11291</v>
      </c>
      <c r="C12024" s="5" t="s">
        <v>11</v>
      </c>
      <c r="D12024" s="5" t="s">
        <v>12</v>
      </c>
      <c r="E12024" s="5" t="s">
        <v>3536</v>
      </c>
    </row>
    <row r="12025" spans="1:5" x14ac:dyDescent="0.25">
      <c r="A12025" s="5">
        <f>12017</f>
      </c>
      <c r="B12025" s="5" t="s">
        <v>11292</v>
      </c>
      <c r="C12025" s="5" t="s">
        <v>11</v>
      </c>
      <c r="D12025" s="5" t="s">
        <v>12</v>
      </c>
      <c r="E12025" s="5" t="s">
        <v>3713</v>
      </c>
    </row>
    <row r="12026" spans="1:5" x14ac:dyDescent="0.25">
      <c r="A12026" s="5">
        <f>12018</f>
      </c>
      <c r="B12026" s="5" t="s">
        <v>11293</v>
      </c>
      <c r="C12026" s="5" t="s">
        <v>11</v>
      </c>
      <c r="D12026" s="5" t="s">
        <v>12</v>
      </c>
      <c r="E12026" s="5" t="s">
        <v>1034</v>
      </c>
    </row>
    <row r="12027" spans="1:5" x14ac:dyDescent="0.25">
      <c r="A12027" s="5">
        <f>12019</f>
      </c>
      <c r="B12027" s="5" t="s">
        <v>11294</v>
      </c>
      <c r="C12027" s="5" t="s">
        <v>11</v>
      </c>
      <c r="D12027" s="5" t="s">
        <v>12</v>
      </c>
      <c r="E12027" s="5" t="s">
        <v>882</v>
      </c>
    </row>
    <row r="12028" spans="1:5" x14ac:dyDescent="0.25">
      <c r="A12028" s="5">
        <f>12020</f>
      </c>
      <c r="B12028" s="5" t="s">
        <v>11295</v>
      </c>
      <c r="C12028" s="5" t="s">
        <v>11</v>
      </c>
      <c r="D12028" s="5" t="s">
        <v>12</v>
      </c>
      <c r="E12028" s="5" t="s">
        <v>921</v>
      </c>
    </row>
    <row r="12029" spans="1:5" x14ac:dyDescent="0.25">
      <c r="A12029" s="5">
        <f>12021</f>
      </c>
      <c r="B12029" s="5" t="s">
        <v>11296</v>
      </c>
      <c r="C12029" s="5" t="s">
        <v>11</v>
      </c>
      <c r="D12029" s="5" t="s">
        <v>12</v>
      </c>
      <c r="E12029" s="5" t="s">
        <v>3955</v>
      </c>
    </row>
    <row r="12030" spans="1:5" x14ac:dyDescent="0.25">
      <c r="A12030" s="5">
        <f>12022</f>
      </c>
      <c r="B12030" s="5" t="s">
        <v>11297</v>
      </c>
      <c r="C12030" s="5" t="s">
        <v>11</v>
      </c>
      <c r="D12030" s="5" t="s">
        <v>12</v>
      </c>
      <c r="E12030" s="5" t="s">
        <v>2285</v>
      </c>
    </row>
    <row r="12031" spans="1:5" x14ac:dyDescent="0.25">
      <c r="A12031" s="5">
        <f>12023</f>
      </c>
      <c r="B12031" s="5" t="s">
        <v>11298</v>
      </c>
      <c r="C12031" s="5" t="s">
        <v>11</v>
      </c>
      <c r="D12031" s="5" t="s">
        <v>12</v>
      </c>
      <c r="E12031" s="5" t="s">
        <v>2285</v>
      </c>
    </row>
    <row r="12032" spans="1:5" x14ac:dyDescent="0.25">
      <c r="A12032" s="5">
        <f>12024</f>
      </c>
      <c r="B12032" s="5" t="s">
        <v>11299</v>
      </c>
      <c r="C12032" s="5" t="s">
        <v>11</v>
      </c>
      <c r="D12032" s="5" t="s">
        <v>12</v>
      </c>
      <c r="E12032" s="5" t="s">
        <v>2251</v>
      </c>
    </row>
    <row r="12033" spans="1:5" x14ac:dyDescent="0.25">
      <c r="A12033" s="5">
        <f>12025</f>
      </c>
      <c r="B12033" s="5" t="s">
        <v>11300</v>
      </c>
      <c r="C12033" s="5" t="s">
        <v>11</v>
      </c>
      <c r="D12033" s="5" t="s">
        <v>12</v>
      </c>
      <c r="E12033" s="5" t="s">
        <v>2251</v>
      </c>
    </row>
    <row r="12034" spans="1:5" x14ac:dyDescent="0.25">
      <c r="A12034" s="5">
        <f>12026</f>
      </c>
      <c r="B12034" s="5" t="s">
        <v>11301</v>
      </c>
      <c r="C12034" s="5" t="s">
        <v>11</v>
      </c>
      <c r="D12034" s="5" t="s">
        <v>12</v>
      </c>
      <c r="E12034" s="5" t="s">
        <v>2318</v>
      </c>
    </row>
    <row r="12035" spans="1:5" x14ac:dyDescent="0.25">
      <c r="A12035" s="5">
        <f>12027</f>
      </c>
      <c r="B12035" s="5" t="s">
        <v>11302</v>
      </c>
      <c r="C12035" s="5" t="s">
        <v>11</v>
      </c>
      <c r="D12035" s="5" t="s">
        <v>12</v>
      </c>
      <c r="E12035" s="5" t="s">
        <v>4289</v>
      </c>
    </row>
    <row r="12036" spans="1:5" x14ac:dyDescent="0.25">
      <c r="A12036" s="5">
        <f>12028</f>
      </c>
      <c r="B12036" s="5" t="s">
        <v>11303</v>
      </c>
      <c r="C12036" s="5" t="s">
        <v>11</v>
      </c>
      <c r="D12036" s="5" t="s">
        <v>12</v>
      </c>
      <c r="E12036" s="5" t="s">
        <v>2876</v>
      </c>
    </row>
    <row r="12037" spans="1:5" x14ac:dyDescent="0.25">
      <c r="A12037" s="5">
        <f>12029</f>
      </c>
      <c r="B12037" s="5" t="s">
        <v>11304</v>
      </c>
      <c r="C12037" s="5" t="s">
        <v>11</v>
      </c>
      <c r="D12037" s="5" t="s">
        <v>12</v>
      </c>
      <c r="E12037" s="5" t="s">
        <v>2876</v>
      </c>
    </row>
    <row r="12038" spans="1:5" x14ac:dyDescent="0.25">
      <c r="A12038" s="5">
        <f>12030</f>
      </c>
      <c r="B12038" s="5" t="s">
        <v>11305</v>
      </c>
      <c r="C12038" s="5" t="s">
        <v>11</v>
      </c>
      <c r="D12038" s="5" t="s">
        <v>12</v>
      </c>
      <c r="E12038" s="5" t="s">
        <v>3520</v>
      </c>
    </row>
    <row r="12039" spans="1:5" x14ac:dyDescent="0.25">
      <c r="A12039" s="5">
        <f>12031</f>
      </c>
      <c r="B12039" s="5" t="s">
        <v>11306</v>
      </c>
      <c r="C12039" s="5" t="s">
        <v>11</v>
      </c>
      <c r="D12039" s="5" t="s">
        <v>12</v>
      </c>
      <c r="E12039" s="5" t="s">
        <v>2586</v>
      </c>
    </row>
    <row r="12040" spans="1:5" x14ac:dyDescent="0.25">
      <c r="A12040" s="5">
        <f>12032</f>
      </c>
      <c r="B12040" s="5" t="s">
        <v>11307</v>
      </c>
      <c r="C12040" s="5" t="s">
        <v>11</v>
      </c>
      <c r="D12040" s="5" t="s">
        <v>12</v>
      </c>
      <c r="E12040" s="5" t="s">
        <v>885</v>
      </c>
    </row>
    <row r="12041" spans="1:5" x14ac:dyDescent="0.25">
      <c r="A12041" s="5">
        <f>12033</f>
      </c>
      <c r="B12041" s="5" t="s">
        <v>11308</v>
      </c>
      <c r="C12041" s="5" t="s">
        <v>11</v>
      </c>
      <c r="D12041" s="5" t="s">
        <v>12</v>
      </c>
      <c r="E12041" s="5" t="s">
        <v>885</v>
      </c>
    </row>
    <row r="12042" spans="1:5" x14ac:dyDescent="0.25">
      <c r="A12042" s="5">
        <f>12034</f>
      </c>
      <c r="B12042" s="5" t="s">
        <v>11309</v>
      </c>
      <c r="C12042" s="5" t="s">
        <v>11</v>
      </c>
      <c r="D12042" s="5" t="s">
        <v>12</v>
      </c>
      <c r="E12042" s="5" t="s">
        <v>3761</v>
      </c>
    </row>
    <row r="12043" spans="1:5" x14ac:dyDescent="0.25">
      <c r="A12043" s="5">
        <f>12035</f>
      </c>
      <c r="B12043" s="5" t="s">
        <v>11310</v>
      </c>
      <c r="C12043" s="5" t="s">
        <v>11</v>
      </c>
      <c r="D12043" s="5" t="s">
        <v>12</v>
      </c>
      <c r="E12043" s="5" t="s">
        <v>4151</v>
      </c>
    </row>
    <row r="12044" spans="1:5" x14ac:dyDescent="0.25">
      <c r="A12044" s="5">
        <f>12036</f>
      </c>
      <c r="B12044" s="5" t="s">
        <v>11311</v>
      </c>
      <c r="C12044" s="5" t="s">
        <v>11</v>
      </c>
      <c r="D12044" s="5" t="s">
        <v>12</v>
      </c>
      <c r="E12044" s="5" t="s">
        <v>3678</v>
      </c>
    </row>
    <row r="12045" spans="1:5" x14ac:dyDescent="0.25">
      <c r="A12045" s="5">
        <f>12037</f>
      </c>
      <c r="B12045" s="5" t="s">
        <v>11312</v>
      </c>
      <c r="C12045" s="5" t="s">
        <v>11</v>
      </c>
      <c r="D12045" s="5" t="s">
        <v>12</v>
      </c>
      <c r="E12045" s="5" t="s">
        <v>3678</v>
      </c>
    </row>
    <row r="12046" spans="1:5" x14ac:dyDescent="0.25">
      <c r="A12046" s="5">
        <f>12038</f>
      </c>
      <c r="B12046" s="5" t="s">
        <v>11313</v>
      </c>
      <c r="C12046" s="5" t="s">
        <v>11</v>
      </c>
      <c r="D12046" s="5" t="s">
        <v>12</v>
      </c>
      <c r="E12046" s="5" t="s">
        <v>2257</v>
      </c>
    </row>
    <row r="12047" spans="1:5" x14ac:dyDescent="0.25">
      <c r="A12047" s="5">
        <f>12039</f>
      </c>
      <c r="B12047" s="5" t="s">
        <v>11314</v>
      </c>
      <c r="C12047" s="5" t="s">
        <v>11</v>
      </c>
      <c r="D12047" s="5" t="s">
        <v>12</v>
      </c>
      <c r="E12047" s="5" t="s">
        <v>4130</v>
      </c>
    </row>
    <row r="12048" spans="1:5" x14ac:dyDescent="0.25">
      <c r="A12048" s="5">
        <f>12040</f>
      </c>
      <c r="B12048" s="5" t="s">
        <v>11315</v>
      </c>
      <c r="C12048" s="5" t="s">
        <v>11</v>
      </c>
      <c r="D12048" s="5" t="s">
        <v>12</v>
      </c>
      <c r="E12048" s="5" t="s">
        <v>4130</v>
      </c>
    </row>
    <row r="12049" spans="1:5" x14ac:dyDescent="0.25">
      <c r="A12049" s="5">
        <f>12041</f>
      </c>
      <c r="B12049" s="5" t="s">
        <v>11316</v>
      </c>
      <c r="C12049" s="5" t="s">
        <v>11</v>
      </c>
      <c r="D12049" s="5" t="s">
        <v>12</v>
      </c>
      <c r="E12049" s="5" t="s">
        <v>924</v>
      </c>
    </row>
    <row r="12050" spans="1:5" x14ac:dyDescent="0.25">
      <c r="A12050" s="5">
        <f>12042</f>
      </c>
      <c r="B12050" s="5" t="s">
        <v>11317</v>
      </c>
      <c r="C12050" s="5" t="s">
        <v>11</v>
      </c>
      <c r="D12050" s="5" t="s">
        <v>12</v>
      </c>
      <c r="E12050" s="5" t="s">
        <v>3767</v>
      </c>
    </row>
    <row r="12051" spans="1:5" x14ac:dyDescent="0.25">
      <c r="A12051" s="5">
        <f>12043</f>
      </c>
      <c r="B12051" s="5" t="s">
        <v>11318</v>
      </c>
      <c r="C12051" s="5" t="s">
        <v>11</v>
      </c>
      <c r="D12051" s="5" t="s">
        <v>12</v>
      </c>
      <c r="E12051" s="5" t="s">
        <v>3767</v>
      </c>
    </row>
    <row r="12052" spans="1:5" x14ac:dyDescent="0.25">
      <c r="A12052" s="5">
        <f>12044</f>
      </c>
      <c r="B12052" s="5" t="s">
        <v>11319</v>
      </c>
      <c r="C12052" s="5" t="s">
        <v>11</v>
      </c>
      <c r="D12052" s="5" t="s">
        <v>12</v>
      </c>
      <c r="E12052" s="5" t="s">
        <v>2596</v>
      </c>
    </row>
    <row r="12053" spans="1:5" x14ac:dyDescent="0.25">
      <c r="A12053" s="5">
        <f>12045</f>
      </c>
      <c r="B12053" s="5" t="s">
        <v>11320</v>
      </c>
      <c r="C12053" s="5" t="s">
        <v>11</v>
      </c>
      <c r="D12053" s="5" t="s">
        <v>12</v>
      </c>
      <c r="E12053" s="5" t="s">
        <v>2296</v>
      </c>
    </row>
    <row r="12054" spans="1:5" x14ac:dyDescent="0.25">
      <c r="A12054" s="5">
        <f>12046</f>
      </c>
      <c r="B12054" s="5" t="s">
        <v>11321</v>
      </c>
      <c r="C12054" s="5" t="s">
        <v>11</v>
      </c>
      <c r="D12054" s="5" t="s">
        <v>12</v>
      </c>
      <c r="E12054" s="5" t="s">
        <v>762</v>
      </c>
    </row>
    <row r="12055" spans="1:5" x14ac:dyDescent="0.25">
      <c r="A12055" s="5">
        <f>12047</f>
      </c>
      <c r="B12055" s="5" t="s">
        <v>11322</v>
      </c>
      <c r="C12055" s="5" t="s">
        <v>11</v>
      </c>
      <c r="D12055" s="5" t="s">
        <v>12</v>
      </c>
      <c r="E12055" s="5" t="s">
        <v>770</v>
      </c>
    </row>
    <row r="12056" spans="1:5" x14ac:dyDescent="0.25">
      <c r="A12056" s="5">
        <f>12048</f>
      </c>
      <c r="B12056" s="5" t="s">
        <v>11323</v>
      </c>
      <c r="C12056" s="5" t="s">
        <v>11</v>
      </c>
      <c r="D12056" s="5" t="s">
        <v>12</v>
      </c>
      <c r="E12056" s="5" t="s">
        <v>770</v>
      </c>
    </row>
    <row r="12057" spans="1:5" x14ac:dyDescent="0.25">
      <c r="A12057" s="5">
        <f>12049</f>
      </c>
      <c r="B12057" s="5" t="s">
        <v>11324</v>
      </c>
      <c r="C12057" s="5" t="s">
        <v>11</v>
      </c>
      <c r="D12057" s="5" t="s">
        <v>12</v>
      </c>
      <c r="E12057" s="5" t="s">
        <v>3378</v>
      </c>
    </row>
    <row r="12058" spans="1:5" x14ac:dyDescent="0.25">
      <c r="A12058" s="5">
        <f>12050</f>
      </c>
      <c r="B12058" s="5" t="s">
        <v>11325</v>
      </c>
      <c r="C12058" s="5" t="s">
        <v>11</v>
      </c>
      <c r="D12058" s="5" t="s">
        <v>12</v>
      </c>
      <c r="E12058" s="5" t="s">
        <v>2668</v>
      </c>
    </row>
    <row r="12059" spans="1:5" x14ac:dyDescent="0.25">
      <c r="A12059" s="5">
        <f>12051</f>
      </c>
      <c r="B12059" s="5" t="s">
        <v>11326</v>
      </c>
      <c r="C12059" s="5" t="s">
        <v>11</v>
      </c>
      <c r="D12059" s="5" t="s">
        <v>12</v>
      </c>
      <c r="E12059" s="5" t="s">
        <v>3879</v>
      </c>
    </row>
    <row r="12060" spans="1:5" x14ac:dyDescent="0.25">
      <c r="A12060" s="5">
        <f>12052</f>
      </c>
      <c r="B12060" s="5" t="s">
        <v>11327</v>
      </c>
      <c r="C12060" s="5" t="s">
        <v>11</v>
      </c>
      <c r="D12060" s="5" t="s">
        <v>12</v>
      </c>
      <c r="E12060" s="5" t="s">
        <v>3879</v>
      </c>
    </row>
    <row r="12061" spans="1:5" x14ac:dyDescent="0.25">
      <c r="A12061" s="5">
        <f>12053</f>
      </c>
      <c r="B12061" s="5" t="s">
        <v>11328</v>
      </c>
      <c r="C12061" s="5" t="s">
        <v>11</v>
      </c>
      <c r="D12061" s="5" t="s">
        <v>12</v>
      </c>
      <c r="E12061" s="5" t="s">
        <v>2316</v>
      </c>
    </row>
    <row r="12062" spans="1:5" x14ac:dyDescent="0.25">
      <c r="A12062" s="5">
        <f>12054</f>
      </c>
      <c r="B12062" s="5" t="s">
        <v>11329</v>
      </c>
      <c r="C12062" s="5" t="s">
        <v>11</v>
      </c>
      <c r="D12062" s="5" t="s">
        <v>12</v>
      </c>
      <c r="E12062" s="5" t="s">
        <v>941</v>
      </c>
    </row>
    <row r="12063" spans="1:5" x14ac:dyDescent="0.25">
      <c r="A12063" s="5">
        <f>12055</f>
      </c>
      <c r="B12063" s="5" t="s">
        <v>11330</v>
      </c>
      <c r="C12063" s="5" t="s">
        <v>11</v>
      </c>
      <c r="D12063" s="5" t="s">
        <v>12</v>
      </c>
      <c r="E12063" s="5" t="s">
        <v>3686</v>
      </c>
    </row>
    <row r="12064" spans="1:5" x14ac:dyDescent="0.25">
      <c r="A12064" s="5">
        <f>12056</f>
      </c>
      <c r="B12064" s="5" t="s">
        <v>11331</v>
      </c>
      <c r="C12064" s="5" t="s">
        <v>11</v>
      </c>
      <c r="D12064" s="5" t="s">
        <v>12</v>
      </c>
      <c r="E12064" s="5" t="s">
        <v>3686</v>
      </c>
    </row>
    <row r="12065" spans="1:5" x14ac:dyDescent="0.25">
      <c r="A12065" s="5">
        <f>12057</f>
      </c>
      <c r="B12065" s="5" t="s">
        <v>11332</v>
      </c>
      <c r="C12065" s="5" t="s">
        <v>11</v>
      </c>
      <c r="D12065" s="5" t="s">
        <v>12</v>
      </c>
      <c r="E12065" s="5" t="s">
        <v>3433</v>
      </c>
    </row>
    <row r="12066" spans="1:5" x14ac:dyDescent="0.25">
      <c r="A12066" s="5">
        <f>12058</f>
      </c>
      <c r="B12066" s="5" t="s">
        <v>11333</v>
      </c>
      <c r="C12066" s="5" t="s">
        <v>11</v>
      </c>
      <c r="D12066" s="5" t="s">
        <v>12</v>
      </c>
      <c r="E12066" s="5" t="s">
        <v>3621</v>
      </c>
    </row>
    <row r="12067" spans="1:5" x14ac:dyDescent="0.25">
      <c r="A12067" s="5">
        <f>12059</f>
      </c>
      <c r="B12067" s="5" t="s">
        <v>11334</v>
      </c>
      <c r="C12067" s="5" t="s">
        <v>11</v>
      </c>
      <c r="D12067" s="5" t="s">
        <v>12</v>
      </c>
      <c r="E12067" s="5" t="s">
        <v>2394</v>
      </c>
    </row>
    <row r="12068" spans="1:5" x14ac:dyDescent="0.25">
      <c r="A12068" s="5">
        <f>12060</f>
      </c>
      <c r="B12068" s="5" t="s">
        <v>11335</v>
      </c>
      <c r="C12068" s="5" t="s">
        <v>11</v>
      </c>
      <c r="D12068" s="5" t="s">
        <v>12</v>
      </c>
      <c r="E12068" s="5" t="s">
        <v>7767</v>
      </c>
    </row>
    <row r="12069" spans="1:5" x14ac:dyDescent="0.25">
      <c r="A12069" s="5">
        <f>12061</f>
      </c>
      <c r="B12069" s="5" t="s">
        <v>11336</v>
      </c>
      <c r="C12069" s="5" t="s">
        <v>11</v>
      </c>
      <c r="D12069" s="5" t="s">
        <v>12</v>
      </c>
      <c r="E12069" s="5" t="s">
        <v>2386</v>
      </c>
    </row>
    <row r="12070" spans="1:5" x14ac:dyDescent="0.25">
      <c r="A12070" s="5">
        <f>12062</f>
      </c>
      <c r="B12070" s="5" t="s">
        <v>11337</v>
      </c>
      <c r="C12070" s="5" t="s">
        <v>11</v>
      </c>
      <c r="D12070" s="5" t="s">
        <v>12</v>
      </c>
      <c r="E12070" s="5" t="s">
        <v>718</v>
      </c>
    </row>
    <row r="12071" spans="1:5" x14ac:dyDescent="0.25">
      <c r="A12071" s="5">
        <f>12063</f>
      </c>
      <c r="B12071" s="5" t="s">
        <v>11338</v>
      </c>
      <c r="C12071" s="5" t="s">
        <v>11</v>
      </c>
      <c r="D12071" s="5" t="s">
        <v>12</v>
      </c>
      <c r="E12071" s="5" t="s">
        <v>840</v>
      </c>
    </row>
    <row r="12072" spans="1:5" x14ac:dyDescent="0.25">
      <c r="A12072" s="5">
        <f>12064</f>
      </c>
      <c r="B12072" s="5" t="s">
        <v>11339</v>
      </c>
      <c r="C12072" s="5" t="s">
        <v>11</v>
      </c>
      <c r="D12072" s="5" t="s">
        <v>12</v>
      </c>
      <c r="E12072" s="5" t="s">
        <v>840</v>
      </c>
    </row>
    <row r="12073" spans="1:5" x14ac:dyDescent="0.25">
      <c r="A12073" s="5">
        <f>12065</f>
      </c>
      <c r="B12073" s="5" t="s">
        <v>11340</v>
      </c>
      <c r="C12073" s="5" t="s">
        <v>11</v>
      </c>
      <c r="D12073" s="5" t="s">
        <v>12</v>
      </c>
      <c r="E12073" s="5" t="s">
        <v>1028</v>
      </c>
    </row>
    <row r="12074" spans="1:5" x14ac:dyDescent="0.25">
      <c r="A12074" s="5">
        <f>12066</f>
      </c>
      <c r="B12074" s="5" t="s">
        <v>11341</v>
      </c>
      <c r="C12074" s="5" t="s">
        <v>11</v>
      </c>
      <c r="D12074" s="5" t="s">
        <v>12</v>
      </c>
      <c r="E12074" s="5" t="s">
        <v>3604</v>
      </c>
    </row>
    <row r="12075" spans="1:5" x14ac:dyDescent="0.25">
      <c r="A12075" s="5">
        <f>12067</f>
      </c>
      <c r="B12075" s="5" t="s">
        <v>11342</v>
      </c>
      <c r="C12075" s="5" t="s">
        <v>11</v>
      </c>
      <c r="D12075" s="5" t="s">
        <v>12</v>
      </c>
      <c r="E12075" s="5" t="s">
        <v>3604</v>
      </c>
    </row>
    <row r="12076" spans="1:5" x14ac:dyDescent="0.25">
      <c r="A12076" s="5">
        <f>12068</f>
      </c>
      <c r="B12076" s="5" t="s">
        <v>11343</v>
      </c>
      <c r="C12076" s="5" t="s">
        <v>11</v>
      </c>
      <c r="D12076" s="5" t="s">
        <v>12</v>
      </c>
      <c r="E12076" s="5" t="s">
        <v>3692</v>
      </c>
    </row>
    <row r="12077" spans="1:5" x14ac:dyDescent="0.25">
      <c r="A12077" s="5">
        <f>12069</f>
      </c>
      <c r="B12077" s="5" t="s">
        <v>11344</v>
      </c>
      <c r="C12077" s="5" t="s">
        <v>11</v>
      </c>
      <c r="D12077" s="5" t="s">
        <v>12</v>
      </c>
      <c r="E12077" s="5" t="s">
        <v>2823</v>
      </c>
    </row>
    <row r="12078" spans="1:5" x14ac:dyDescent="0.25">
      <c r="A12078" s="5">
        <f>12070</f>
      </c>
      <c r="B12078" s="5" t="s">
        <v>11345</v>
      </c>
      <c r="C12078" s="5" t="s">
        <v>11</v>
      </c>
      <c r="D12078" s="5" t="s">
        <v>12</v>
      </c>
      <c r="E12078" s="5" t="s">
        <v>2823</v>
      </c>
    </row>
    <row r="12079" spans="1:5" x14ac:dyDescent="0.25">
      <c r="A12079" s="5">
        <f>12071</f>
      </c>
      <c r="B12079" s="5" t="s">
        <v>11346</v>
      </c>
      <c r="C12079" s="5" t="s">
        <v>11</v>
      </c>
      <c r="D12079" s="5" t="s">
        <v>12</v>
      </c>
      <c r="E12079" s="5" t="s">
        <v>840</v>
      </c>
    </row>
    <row r="12080" spans="1:5" x14ac:dyDescent="0.25">
      <c r="A12080" s="5">
        <f>12072</f>
      </c>
      <c r="B12080" s="5" t="s">
        <v>11347</v>
      </c>
      <c r="C12080" s="5" t="s">
        <v>11</v>
      </c>
      <c r="D12080" s="5" t="s">
        <v>12</v>
      </c>
      <c r="E12080" s="5" t="s">
        <v>840</v>
      </c>
    </row>
    <row r="12081" spans="1:5" x14ac:dyDescent="0.25">
      <c r="A12081" s="5">
        <f>12073</f>
      </c>
      <c r="B12081" s="5" t="s">
        <v>11348</v>
      </c>
      <c r="C12081" s="5" t="s">
        <v>11</v>
      </c>
      <c r="D12081" s="5" t="s">
        <v>12</v>
      </c>
      <c r="E12081" s="5" t="s">
        <v>2398</v>
      </c>
    </row>
    <row r="12082" spans="1:5" x14ac:dyDescent="0.25">
      <c r="A12082" s="5">
        <f>12074</f>
      </c>
      <c r="B12082" s="5" t="s">
        <v>11349</v>
      </c>
      <c r="C12082" s="5" t="s">
        <v>11</v>
      </c>
      <c r="D12082" s="5" t="s">
        <v>12</v>
      </c>
      <c r="E12082" s="5" t="s">
        <v>2398</v>
      </c>
    </row>
    <row r="12083" spans="1:5" x14ac:dyDescent="0.25">
      <c r="A12083" s="5">
        <f>12075</f>
      </c>
      <c r="B12083" s="5" t="s">
        <v>11350</v>
      </c>
      <c r="C12083" s="5" t="s">
        <v>11</v>
      </c>
      <c r="D12083" s="5" t="s">
        <v>12</v>
      </c>
      <c r="E12083" s="5" t="s">
        <v>10059</v>
      </c>
    </row>
    <row r="12084" spans="1:5" x14ac:dyDescent="0.25">
      <c r="A12084" s="5">
        <f>12076</f>
      </c>
      <c r="B12084" s="5" t="s">
        <v>11351</v>
      </c>
      <c r="C12084" s="5" t="s">
        <v>11</v>
      </c>
      <c r="D12084" s="5" t="s">
        <v>12</v>
      </c>
      <c r="E12084" s="5" t="s">
        <v>10059</v>
      </c>
    </row>
    <row r="12085" spans="1:5" x14ac:dyDescent="0.25">
      <c r="A12085" s="5">
        <f>12077</f>
      </c>
      <c r="B12085" s="5" t="s">
        <v>11352</v>
      </c>
      <c r="C12085" s="5" t="s">
        <v>11</v>
      </c>
      <c r="D12085" s="5" t="s">
        <v>12</v>
      </c>
      <c r="E12085" s="5" t="s">
        <v>2255</v>
      </c>
    </row>
    <row r="12086" spans="1:5" x14ac:dyDescent="0.25">
      <c r="A12086" s="5">
        <f>12078</f>
      </c>
      <c r="B12086" s="5" t="s">
        <v>11353</v>
      </c>
      <c r="C12086" s="5" t="s">
        <v>11</v>
      </c>
      <c r="D12086" s="5" t="s">
        <v>12</v>
      </c>
      <c r="E12086" s="5" t="s">
        <v>11120</v>
      </c>
    </row>
    <row r="12087" spans="1:5" x14ac:dyDescent="0.25">
      <c r="A12087" s="5">
        <f>12079</f>
      </c>
      <c r="B12087" s="5" t="s">
        <v>11354</v>
      </c>
      <c r="C12087" s="5" t="s">
        <v>11</v>
      </c>
      <c r="D12087" s="5" t="s">
        <v>12</v>
      </c>
      <c r="E12087" s="5" t="s">
        <v>2671</v>
      </c>
    </row>
    <row r="12088" spans="1:5" x14ac:dyDescent="0.25">
      <c r="A12088" s="5">
        <f>12080</f>
      </c>
      <c r="B12088" s="5" t="s">
        <v>11355</v>
      </c>
      <c r="C12088" s="5" t="s">
        <v>11</v>
      </c>
      <c r="D12088" s="5" t="s">
        <v>12</v>
      </c>
      <c r="E12088" s="5" t="s">
        <v>2671</v>
      </c>
    </row>
    <row r="12089" spans="1:5" x14ac:dyDescent="0.25">
      <c r="A12089" s="5">
        <f>12081</f>
      </c>
      <c r="B12089" s="5" t="s">
        <v>11356</v>
      </c>
      <c r="C12089" s="5" t="s">
        <v>11</v>
      </c>
      <c r="D12089" s="5" t="s">
        <v>12</v>
      </c>
      <c r="E12089" s="5" t="s">
        <v>728</v>
      </c>
    </row>
    <row r="12090" spans="1:5" x14ac:dyDescent="0.25">
      <c r="A12090" s="5">
        <f>12082</f>
      </c>
      <c r="B12090" s="5" t="s">
        <v>11357</v>
      </c>
      <c r="C12090" s="5" t="s">
        <v>11</v>
      </c>
      <c r="D12090" s="5" t="s">
        <v>12</v>
      </c>
      <c r="E12090" s="5" t="s">
        <v>2412</v>
      </c>
    </row>
    <row r="12091" spans="1:5" x14ac:dyDescent="0.25">
      <c r="A12091" s="5">
        <f>12083</f>
      </c>
      <c r="B12091" s="5" t="s">
        <v>11358</v>
      </c>
      <c r="C12091" s="5" t="s">
        <v>11</v>
      </c>
      <c r="D12091" s="5" t="s">
        <v>12</v>
      </c>
      <c r="E12091" s="5" t="s">
        <v>2285</v>
      </c>
    </row>
    <row r="12092" spans="1:5" x14ac:dyDescent="0.25">
      <c r="A12092" s="5">
        <f>12084</f>
      </c>
      <c r="B12092" s="5" t="s">
        <v>11359</v>
      </c>
      <c r="C12092" s="5" t="s">
        <v>11</v>
      </c>
      <c r="D12092" s="5" t="s">
        <v>12</v>
      </c>
      <c r="E12092" s="5" t="s">
        <v>2285</v>
      </c>
    </row>
    <row r="12093" spans="1:5" x14ac:dyDescent="0.25">
      <c r="A12093" s="5">
        <f>12085</f>
      </c>
      <c r="B12093" s="5" t="s">
        <v>11360</v>
      </c>
      <c r="C12093" s="5" t="s">
        <v>11</v>
      </c>
      <c r="D12093" s="5" t="s">
        <v>12</v>
      </c>
      <c r="E12093" s="5" t="s">
        <v>10705</v>
      </c>
    </row>
    <row r="12094" spans="1:5" x14ac:dyDescent="0.25">
      <c r="A12094" s="5">
        <f>12086</f>
      </c>
      <c r="B12094" s="5" t="s">
        <v>11361</v>
      </c>
      <c r="C12094" s="5" t="s">
        <v>11</v>
      </c>
      <c r="D12094" s="5" t="s">
        <v>12</v>
      </c>
      <c r="E12094" s="5" t="s">
        <v>11362</v>
      </c>
    </row>
    <row r="12095" spans="1:5" x14ac:dyDescent="0.25">
      <c r="A12095" s="5">
        <f>12087</f>
      </c>
      <c r="B12095" s="5" t="s">
        <v>11363</v>
      </c>
      <c r="C12095" s="5" t="s">
        <v>11</v>
      </c>
      <c r="D12095" s="5" t="s">
        <v>12</v>
      </c>
      <c r="E12095" s="5" t="s">
        <v>11362</v>
      </c>
    </row>
    <row r="12096" spans="1:5" x14ac:dyDescent="0.25">
      <c r="A12096" s="5">
        <f>12088</f>
      </c>
      <c r="B12096" s="5" t="s">
        <v>11364</v>
      </c>
      <c r="C12096" s="5" t="s">
        <v>11</v>
      </c>
      <c r="D12096" s="5" t="s">
        <v>12</v>
      </c>
      <c r="E12096" s="5" t="s">
        <v>875</v>
      </c>
    </row>
    <row r="12097" spans="1:5" x14ac:dyDescent="0.25">
      <c r="A12097" s="5">
        <f>12089</f>
      </c>
      <c r="B12097" s="5" t="s">
        <v>11365</v>
      </c>
      <c r="C12097" s="5" t="s">
        <v>11</v>
      </c>
      <c r="D12097" s="5" t="s">
        <v>12</v>
      </c>
      <c r="E12097" s="5" t="s">
        <v>3924</v>
      </c>
    </row>
    <row r="12098" spans="1:5" x14ac:dyDescent="0.25">
      <c r="A12098" s="5">
        <f>12090</f>
      </c>
      <c r="B12098" s="5" t="s">
        <v>11366</v>
      </c>
      <c r="C12098" s="5" t="s">
        <v>11</v>
      </c>
      <c r="D12098" s="5" t="s">
        <v>12</v>
      </c>
      <c r="E12098" s="5" t="s">
        <v>2251</v>
      </c>
    </row>
    <row r="12099" spans="1:5" x14ac:dyDescent="0.25">
      <c r="A12099" s="5">
        <f>12091</f>
      </c>
      <c r="B12099" s="5" t="s">
        <v>11367</v>
      </c>
      <c r="C12099" s="5" t="s">
        <v>11</v>
      </c>
      <c r="D12099" s="5" t="s">
        <v>12</v>
      </c>
      <c r="E12099" s="5" t="s">
        <v>975</v>
      </c>
    </row>
    <row r="12100" spans="1:5" x14ac:dyDescent="0.25">
      <c r="A12100" s="5">
        <f>12092</f>
      </c>
      <c r="B12100" s="5" t="s">
        <v>11368</v>
      </c>
      <c r="C12100" s="5" t="s">
        <v>11</v>
      </c>
      <c r="D12100" s="5" t="s">
        <v>12</v>
      </c>
      <c r="E12100" s="5" t="s">
        <v>975</v>
      </c>
    </row>
    <row r="12101" spans="1:5" x14ac:dyDescent="0.25">
      <c r="A12101" s="5">
        <f>12093</f>
      </c>
      <c r="B12101" s="5" t="s">
        <v>11369</v>
      </c>
      <c r="C12101" s="5" t="s">
        <v>11</v>
      </c>
      <c r="D12101" s="5" t="s">
        <v>12</v>
      </c>
      <c r="E12101" s="5" t="s">
        <v>3490</v>
      </c>
    </row>
    <row r="12102" spans="1:5" x14ac:dyDescent="0.25">
      <c r="A12102" s="5">
        <f>12094</f>
      </c>
      <c r="B12102" s="5" t="s">
        <v>11370</v>
      </c>
      <c r="C12102" s="5" t="s">
        <v>11</v>
      </c>
      <c r="D12102" s="5" t="s">
        <v>12</v>
      </c>
      <c r="E12102" s="5" t="s">
        <v>869</v>
      </c>
    </row>
    <row r="12103" spans="1:5" x14ac:dyDescent="0.25">
      <c r="A12103" s="5">
        <f>12095</f>
      </c>
      <c r="B12103" s="5" t="s">
        <v>11371</v>
      </c>
      <c r="C12103" s="5" t="s">
        <v>11</v>
      </c>
      <c r="D12103" s="5" t="s">
        <v>12</v>
      </c>
      <c r="E12103" s="5" t="s">
        <v>3754</v>
      </c>
    </row>
    <row r="12104" spans="1:5" x14ac:dyDescent="0.25">
      <c r="A12104" s="5">
        <f>12096</f>
      </c>
      <c r="B12104" s="5" t="s">
        <v>11372</v>
      </c>
      <c r="C12104" s="5" t="s">
        <v>11</v>
      </c>
      <c r="D12104" s="5" t="s">
        <v>12</v>
      </c>
      <c r="E12104" s="5" t="s">
        <v>3538</v>
      </c>
    </row>
    <row r="12105" spans="1:5" x14ac:dyDescent="0.25">
      <c r="A12105" s="5">
        <f>12097</f>
      </c>
      <c r="B12105" s="5" t="s">
        <v>11373</v>
      </c>
      <c r="C12105" s="5" t="s">
        <v>11</v>
      </c>
      <c r="D12105" s="5" t="s">
        <v>12</v>
      </c>
      <c r="E12105" s="5" t="s">
        <v>3538</v>
      </c>
    </row>
    <row r="12106" spans="1:5" x14ac:dyDescent="0.25">
      <c r="A12106" s="5">
        <f>12098</f>
      </c>
      <c r="B12106" s="5" t="s">
        <v>11374</v>
      </c>
      <c r="C12106" s="5" t="s">
        <v>11</v>
      </c>
      <c r="D12106" s="5" t="s">
        <v>12</v>
      </c>
      <c r="E12106" s="5" t="s">
        <v>10843</v>
      </c>
    </row>
    <row r="12107" spans="1:5" x14ac:dyDescent="0.25">
      <c r="A12107" s="5">
        <f>12099</f>
      </c>
      <c r="B12107" s="5" t="s">
        <v>11375</v>
      </c>
      <c r="C12107" s="5" t="s">
        <v>11</v>
      </c>
      <c r="D12107" s="5" t="s">
        <v>12</v>
      </c>
      <c r="E12107" s="5" t="s">
        <v>959</v>
      </c>
    </row>
    <row r="12108" spans="1:5" x14ac:dyDescent="0.25">
      <c r="A12108" s="5">
        <f>12100</f>
      </c>
      <c r="B12108" s="5" t="s">
        <v>11376</v>
      </c>
      <c r="C12108" s="5" t="s">
        <v>11</v>
      </c>
      <c r="D12108" s="5" t="s">
        <v>12</v>
      </c>
      <c r="E12108" s="5" t="s">
        <v>959</v>
      </c>
    </row>
    <row r="12109" spans="1:5" x14ac:dyDescent="0.25">
      <c r="A12109" s="5">
        <f>12101</f>
      </c>
      <c r="B12109" s="5" t="s">
        <v>11377</v>
      </c>
      <c r="C12109" s="5" t="s">
        <v>11</v>
      </c>
      <c r="D12109" s="5" t="s">
        <v>12</v>
      </c>
      <c r="E12109" s="5" t="s">
        <v>2318</v>
      </c>
    </row>
    <row r="12110" spans="1:5" x14ac:dyDescent="0.25">
      <c r="A12110" s="5">
        <f>12102</f>
      </c>
      <c r="B12110" s="5" t="s">
        <v>11378</v>
      </c>
      <c r="C12110" s="5" t="s">
        <v>11</v>
      </c>
      <c r="D12110" s="5" t="s">
        <v>12</v>
      </c>
      <c r="E12110" s="5" t="s">
        <v>718</v>
      </c>
    </row>
    <row r="12111" spans="1:5" x14ac:dyDescent="0.25">
      <c r="A12111" s="5">
        <f>12103</f>
      </c>
      <c r="B12111" s="5" t="s">
        <v>11379</v>
      </c>
      <c r="C12111" s="5" t="s">
        <v>11</v>
      </c>
      <c r="D12111" s="5" t="s">
        <v>12</v>
      </c>
      <c r="E12111" s="5" t="s">
        <v>718</v>
      </c>
    </row>
    <row r="12112" spans="1:5" x14ac:dyDescent="0.25">
      <c r="A12112" s="5">
        <f>12104</f>
      </c>
      <c r="B12112" s="5" t="s">
        <v>11380</v>
      </c>
      <c r="C12112" s="5" t="s">
        <v>11</v>
      </c>
      <c r="D12112" s="5" t="s">
        <v>12</v>
      </c>
      <c r="E12112" s="5" t="s">
        <v>3688</v>
      </c>
    </row>
    <row r="12113" spans="1:5" x14ac:dyDescent="0.25">
      <c r="A12113" s="5">
        <f>12105</f>
      </c>
      <c r="B12113" s="5" t="s">
        <v>11381</v>
      </c>
      <c r="C12113" s="5" t="s">
        <v>11</v>
      </c>
      <c r="D12113" s="5" t="s">
        <v>12</v>
      </c>
      <c r="E12113" s="5" t="s">
        <v>3688</v>
      </c>
    </row>
    <row r="12114" spans="1:5" x14ac:dyDescent="0.25">
      <c r="A12114" s="5">
        <f>12106</f>
      </c>
      <c r="B12114" s="5" t="s">
        <v>11382</v>
      </c>
      <c r="C12114" s="5" t="s">
        <v>11</v>
      </c>
      <c r="D12114" s="5" t="s">
        <v>12</v>
      </c>
      <c r="E12114" s="5" t="s">
        <v>2840</v>
      </c>
    </row>
    <row r="12115" spans="1:5" x14ac:dyDescent="0.25">
      <c r="A12115" s="5">
        <f>12107</f>
      </c>
      <c r="B12115" s="5" t="s">
        <v>11383</v>
      </c>
      <c r="C12115" s="5" t="s">
        <v>11</v>
      </c>
      <c r="D12115" s="5" t="s">
        <v>12</v>
      </c>
      <c r="E12115" s="5" t="s">
        <v>2840</v>
      </c>
    </row>
    <row r="12116" spans="1:5" x14ac:dyDescent="0.25">
      <c r="A12116" s="5">
        <f>12108</f>
      </c>
      <c r="B12116" s="5" t="s">
        <v>11384</v>
      </c>
      <c r="C12116" s="5" t="s">
        <v>11</v>
      </c>
      <c r="D12116" s="5" t="s">
        <v>12</v>
      </c>
      <c r="E12116" s="5" t="s">
        <v>830</v>
      </c>
    </row>
    <row r="12117" spans="1:5" x14ac:dyDescent="0.25">
      <c r="A12117" s="5">
        <f>12109</f>
      </c>
      <c r="B12117" s="5" t="s">
        <v>11385</v>
      </c>
      <c r="C12117" s="5" t="s">
        <v>11</v>
      </c>
      <c r="D12117" s="5" t="s">
        <v>12</v>
      </c>
      <c r="E12117" s="5" t="s">
        <v>830</v>
      </c>
    </row>
    <row r="12118" spans="1:5" x14ac:dyDescent="0.25">
      <c r="A12118" s="5">
        <f>12110</f>
      </c>
      <c r="B12118" s="5" t="s">
        <v>11386</v>
      </c>
      <c r="C12118" s="5" t="s">
        <v>11</v>
      </c>
      <c r="D12118" s="5" t="s">
        <v>12</v>
      </c>
      <c r="E12118" s="5" t="s">
        <v>959</v>
      </c>
    </row>
    <row r="12119" spans="1:5" x14ac:dyDescent="0.25">
      <c r="A12119" s="5">
        <f>12111</f>
      </c>
      <c r="B12119" s="5" t="s">
        <v>11387</v>
      </c>
      <c r="C12119" s="5" t="s">
        <v>11</v>
      </c>
      <c r="D12119" s="5" t="s">
        <v>12</v>
      </c>
      <c r="E12119" s="5" t="s">
        <v>3955</v>
      </c>
    </row>
    <row r="12120" spans="1:5" x14ac:dyDescent="0.25">
      <c r="A12120" s="5">
        <f>12112</f>
      </c>
      <c r="B12120" s="5" t="s">
        <v>11388</v>
      </c>
      <c r="C12120" s="5" t="s">
        <v>11</v>
      </c>
      <c r="D12120" s="5" t="s">
        <v>12</v>
      </c>
      <c r="E12120" s="5" t="s">
        <v>3955</v>
      </c>
    </row>
    <row r="12121" spans="1:5" x14ac:dyDescent="0.25">
      <c r="A12121" s="5">
        <f>12113</f>
      </c>
      <c r="B12121" s="5" t="s">
        <v>11389</v>
      </c>
      <c r="C12121" s="5" t="s">
        <v>11</v>
      </c>
      <c r="D12121" s="5" t="s">
        <v>12</v>
      </c>
      <c r="E12121" s="5" t="s">
        <v>4142</v>
      </c>
    </row>
    <row r="12122" spans="1:5" x14ac:dyDescent="0.25">
      <c r="A12122" s="5">
        <f>12114</f>
      </c>
      <c r="B12122" s="5" t="s">
        <v>11390</v>
      </c>
      <c r="C12122" s="5" t="s">
        <v>11</v>
      </c>
      <c r="D12122" s="5" t="s">
        <v>12</v>
      </c>
      <c r="E12122" s="5" t="s">
        <v>4142</v>
      </c>
    </row>
    <row r="12123" spans="1:5" x14ac:dyDescent="0.25">
      <c r="A12123" s="5">
        <f>12115</f>
      </c>
      <c r="B12123" s="5" t="s">
        <v>11391</v>
      </c>
      <c r="C12123" s="5" t="s">
        <v>11</v>
      </c>
      <c r="D12123" s="5" t="s">
        <v>12</v>
      </c>
      <c r="E12123" s="5" t="s">
        <v>2241</v>
      </c>
    </row>
    <row r="12124" spans="1:5" x14ac:dyDescent="0.25">
      <c r="A12124" s="5">
        <f>12116</f>
      </c>
      <c r="B12124" s="5" t="s">
        <v>11392</v>
      </c>
      <c r="C12124" s="5" t="s">
        <v>11</v>
      </c>
      <c r="D12124" s="5" t="s">
        <v>12</v>
      </c>
      <c r="E12124" s="5" t="s">
        <v>3438</v>
      </c>
    </row>
    <row r="12125" spans="1:5" x14ac:dyDescent="0.25">
      <c r="A12125" s="5">
        <f>12117</f>
      </c>
      <c r="B12125" s="5" t="s">
        <v>11393</v>
      </c>
      <c r="C12125" s="5" t="s">
        <v>11</v>
      </c>
      <c r="D12125" s="5" t="s">
        <v>12</v>
      </c>
      <c r="E12125" s="5" t="s">
        <v>9518</v>
      </c>
    </row>
    <row r="12126" spans="1:5" x14ac:dyDescent="0.25">
      <c r="A12126" s="5">
        <f>12118</f>
      </c>
      <c r="B12126" s="5" t="s">
        <v>11394</v>
      </c>
      <c r="C12126" s="5" t="s">
        <v>11</v>
      </c>
      <c r="D12126" s="5" t="s">
        <v>12</v>
      </c>
      <c r="E12126" s="5" t="s">
        <v>2296</v>
      </c>
    </row>
    <row r="12127" spans="1:5" x14ac:dyDescent="0.25">
      <c r="A12127" s="5">
        <f>12119</f>
      </c>
      <c r="B12127" s="5" t="s">
        <v>11395</v>
      </c>
      <c r="C12127" s="5" t="s">
        <v>11</v>
      </c>
      <c r="D12127" s="5" t="s">
        <v>12</v>
      </c>
      <c r="E12127" s="5" t="s">
        <v>2296</v>
      </c>
    </row>
    <row r="12128" spans="1:5" x14ac:dyDescent="0.25">
      <c r="A12128" s="5">
        <f>12120</f>
      </c>
      <c r="B12128" s="5" t="s">
        <v>11396</v>
      </c>
      <c r="C12128" s="5" t="s">
        <v>11</v>
      </c>
      <c r="D12128" s="5" t="s">
        <v>12</v>
      </c>
      <c r="E12128" s="5" t="s">
        <v>10479</v>
      </c>
    </row>
    <row r="12129" spans="1:5" x14ac:dyDescent="0.25">
      <c r="A12129" s="5">
        <f>12121</f>
      </c>
      <c r="B12129" s="5" t="s">
        <v>11397</v>
      </c>
      <c r="C12129" s="5" t="s">
        <v>11</v>
      </c>
      <c r="D12129" s="5" t="s">
        <v>12</v>
      </c>
      <c r="E12129" s="5" t="s">
        <v>2259</v>
      </c>
    </row>
    <row r="12130" spans="1:5" x14ac:dyDescent="0.25">
      <c r="A12130" s="5">
        <f>12122</f>
      </c>
      <c r="B12130" s="5" t="s">
        <v>11398</v>
      </c>
      <c r="C12130" s="5" t="s">
        <v>11</v>
      </c>
      <c r="D12130" s="5" t="s">
        <v>12</v>
      </c>
      <c r="E12130" s="5" t="s">
        <v>2259</v>
      </c>
    </row>
    <row r="12131" spans="1:5" x14ac:dyDescent="0.25">
      <c r="A12131" s="5">
        <f>12123</f>
      </c>
      <c r="B12131" s="5" t="s">
        <v>11399</v>
      </c>
      <c r="C12131" s="5" t="s">
        <v>11</v>
      </c>
      <c r="D12131" s="5" t="s">
        <v>12</v>
      </c>
      <c r="E12131" s="5" t="s">
        <v>3610</v>
      </c>
    </row>
    <row r="12132" spans="1:5" x14ac:dyDescent="0.25">
      <c r="A12132" s="5">
        <f>12124</f>
      </c>
      <c r="B12132" s="5" t="s">
        <v>11400</v>
      </c>
      <c r="C12132" s="5" t="s">
        <v>11</v>
      </c>
      <c r="D12132" s="5" t="s">
        <v>12</v>
      </c>
      <c r="E12132" s="5" t="s">
        <v>969</v>
      </c>
    </row>
    <row r="12133" spans="1:5" x14ac:dyDescent="0.25">
      <c r="A12133" s="5">
        <f>12125</f>
      </c>
      <c r="B12133" s="5" t="s">
        <v>11401</v>
      </c>
      <c r="C12133" s="5" t="s">
        <v>11</v>
      </c>
      <c r="D12133" s="5" t="s">
        <v>12</v>
      </c>
      <c r="E12133" s="5" t="s">
        <v>2322</v>
      </c>
    </row>
    <row r="12134" spans="1:5" x14ac:dyDescent="0.25">
      <c r="A12134" s="5">
        <f>12126</f>
      </c>
      <c r="B12134" s="5" t="s">
        <v>11402</v>
      </c>
      <c r="C12134" s="5" t="s">
        <v>11</v>
      </c>
      <c r="D12134" s="5" t="s">
        <v>12</v>
      </c>
      <c r="E12134" s="5" t="s">
        <v>2322</v>
      </c>
    </row>
    <row r="12135" spans="1:5" x14ac:dyDescent="0.25">
      <c r="A12135" s="5">
        <f>12127</f>
      </c>
      <c r="B12135" s="5" t="s">
        <v>11403</v>
      </c>
      <c r="C12135" s="5" t="s">
        <v>11</v>
      </c>
      <c r="D12135" s="5" t="s">
        <v>12</v>
      </c>
      <c r="E12135" s="5" t="s">
        <v>3927</v>
      </c>
    </row>
    <row r="12136" spans="1:5" x14ac:dyDescent="0.25">
      <c r="A12136" s="5">
        <f>12128</f>
      </c>
      <c r="B12136" s="5" t="s">
        <v>11404</v>
      </c>
      <c r="C12136" s="5" t="s">
        <v>11</v>
      </c>
      <c r="D12136" s="5" t="s">
        <v>12</v>
      </c>
      <c r="E12136" s="5" t="s">
        <v>3686</v>
      </c>
    </row>
    <row r="12137" spans="1:5" x14ac:dyDescent="0.25">
      <c r="A12137" s="5">
        <f>12129</f>
      </c>
      <c r="B12137" s="5" t="s">
        <v>11405</v>
      </c>
      <c r="C12137" s="5" t="s">
        <v>11</v>
      </c>
      <c r="D12137" s="5" t="s">
        <v>12</v>
      </c>
      <c r="E12137" s="5" t="s">
        <v>840</v>
      </c>
    </row>
    <row r="12138" spans="1:5" x14ac:dyDescent="0.25">
      <c r="A12138" s="5">
        <f>12130</f>
      </c>
      <c r="B12138" s="5" t="s">
        <v>11406</v>
      </c>
      <c r="C12138" s="5" t="s">
        <v>11</v>
      </c>
      <c r="D12138" s="5" t="s">
        <v>12</v>
      </c>
      <c r="E12138" s="5" t="s">
        <v>840</v>
      </c>
    </row>
    <row r="12139" spans="1:5" x14ac:dyDescent="0.25">
      <c r="A12139" s="5">
        <f>12131</f>
      </c>
      <c r="B12139" s="5" t="s">
        <v>11407</v>
      </c>
      <c r="C12139" s="5" t="s">
        <v>11</v>
      </c>
      <c r="D12139" s="5" t="s">
        <v>12</v>
      </c>
      <c r="E12139" s="5" t="s">
        <v>2665</v>
      </c>
    </row>
    <row r="12140" spans="1:5" x14ac:dyDescent="0.25">
      <c r="A12140" s="5">
        <f>12132</f>
      </c>
      <c r="B12140" s="5" t="s">
        <v>11408</v>
      </c>
      <c r="C12140" s="5" t="s">
        <v>11</v>
      </c>
      <c r="D12140" s="5" t="s">
        <v>12</v>
      </c>
      <c r="E12140" s="5" t="s">
        <v>11120</v>
      </c>
    </row>
    <row r="12141" spans="1:5" x14ac:dyDescent="0.25">
      <c r="A12141" s="5">
        <f>12133</f>
      </c>
      <c r="B12141" s="5" t="s">
        <v>11409</v>
      </c>
      <c r="C12141" s="5" t="s">
        <v>11</v>
      </c>
      <c r="D12141" s="5" t="s">
        <v>12</v>
      </c>
      <c r="E12141" s="5" t="s">
        <v>959</v>
      </c>
    </row>
    <row r="12142" spans="1:5" x14ac:dyDescent="0.25">
      <c r="A12142" s="5">
        <f>12134</f>
      </c>
      <c r="B12142" s="5" t="s">
        <v>11410</v>
      </c>
      <c r="C12142" s="5" t="s">
        <v>11</v>
      </c>
      <c r="D12142" s="5" t="s">
        <v>12</v>
      </c>
      <c r="E12142" s="5" t="s">
        <v>1051</v>
      </c>
    </row>
    <row r="12143" spans="1:5" x14ac:dyDescent="0.25">
      <c r="A12143" s="5">
        <f>12135</f>
      </c>
      <c r="B12143" s="5" t="s">
        <v>11411</v>
      </c>
      <c r="C12143" s="5" t="s">
        <v>11</v>
      </c>
      <c r="D12143" s="5" t="s">
        <v>12</v>
      </c>
      <c r="E12143" s="5" t="s">
        <v>722</v>
      </c>
    </row>
    <row r="12144" spans="1:5" x14ac:dyDescent="0.25">
      <c r="A12144" s="5">
        <f>12136</f>
      </c>
      <c r="B12144" s="5" t="s">
        <v>11412</v>
      </c>
      <c r="C12144" s="5" t="s">
        <v>11</v>
      </c>
      <c r="D12144" s="5" t="s">
        <v>12</v>
      </c>
      <c r="E12144" s="5" t="s">
        <v>784</v>
      </c>
    </row>
    <row r="12145" spans="1:5" x14ac:dyDescent="0.25">
      <c r="A12145" s="5">
        <f>12137</f>
      </c>
      <c r="B12145" s="5" t="s">
        <v>11413</v>
      </c>
      <c r="C12145" s="5" t="s">
        <v>11</v>
      </c>
      <c r="D12145" s="5" t="s">
        <v>12</v>
      </c>
      <c r="E12145" s="5" t="s">
        <v>11414</v>
      </c>
    </row>
    <row r="12146" spans="1:5" x14ac:dyDescent="0.25">
      <c r="A12146" s="5">
        <f>12138</f>
      </c>
      <c r="B12146" s="5" t="s">
        <v>11415</v>
      </c>
      <c r="C12146" s="5" t="s">
        <v>11</v>
      </c>
      <c r="D12146" s="5" t="s">
        <v>12</v>
      </c>
      <c r="E12146" s="5" t="s">
        <v>2840</v>
      </c>
    </row>
    <row r="12147" spans="1:5" x14ac:dyDescent="0.25">
      <c r="A12147" s="5">
        <f>12139</f>
      </c>
      <c r="B12147" s="5" t="s">
        <v>11416</v>
      </c>
      <c r="C12147" s="5" t="s">
        <v>11</v>
      </c>
      <c r="D12147" s="5" t="s">
        <v>12</v>
      </c>
      <c r="E12147" s="5" t="s">
        <v>2641</v>
      </c>
    </row>
    <row r="12148" spans="1:5" x14ac:dyDescent="0.25">
      <c r="A12148" s="5">
        <f>12140</f>
      </c>
      <c r="B12148" s="5" t="s">
        <v>11417</v>
      </c>
      <c r="C12148" s="5" t="s">
        <v>11</v>
      </c>
      <c r="D12148" s="5" t="s">
        <v>12</v>
      </c>
      <c r="E12148" s="5" t="s">
        <v>959</v>
      </c>
    </row>
    <row r="12149" spans="1:5" x14ac:dyDescent="0.25">
      <c r="A12149" s="5">
        <f>12141</f>
      </c>
      <c r="B12149" s="5" t="s">
        <v>11418</v>
      </c>
      <c r="C12149" s="5" t="s">
        <v>11</v>
      </c>
      <c r="D12149" s="5" t="s">
        <v>12</v>
      </c>
      <c r="E12149" s="5" t="s">
        <v>2668</v>
      </c>
    </row>
    <row r="12150" spans="1:5" x14ac:dyDescent="0.25">
      <c r="A12150" s="5">
        <f>12142</f>
      </c>
      <c r="B12150" s="5" t="s">
        <v>11419</v>
      </c>
      <c r="C12150" s="5" t="s">
        <v>11</v>
      </c>
      <c r="D12150" s="5" t="s">
        <v>12</v>
      </c>
      <c r="E12150" s="5" t="s">
        <v>3438</v>
      </c>
    </row>
    <row r="12151" spans="1:5" x14ac:dyDescent="0.25">
      <c r="A12151" s="5">
        <f>12143</f>
      </c>
      <c r="B12151" s="5" t="s">
        <v>11420</v>
      </c>
      <c r="C12151" s="5" t="s">
        <v>11</v>
      </c>
      <c r="D12151" s="5" t="s">
        <v>12</v>
      </c>
      <c r="E12151" s="5" t="s">
        <v>3549</v>
      </c>
    </row>
    <row r="12152" spans="1:5" x14ac:dyDescent="0.25">
      <c r="A12152" s="5">
        <f>12144</f>
      </c>
      <c r="B12152" s="5" t="s">
        <v>11421</v>
      </c>
      <c r="C12152" s="5" t="s">
        <v>11</v>
      </c>
      <c r="D12152" s="5" t="s">
        <v>12</v>
      </c>
      <c r="E12152" s="5" t="s">
        <v>990</v>
      </c>
    </row>
    <row r="12153" spans="1:5" x14ac:dyDescent="0.25">
      <c r="A12153" s="5">
        <f>12145</f>
      </c>
      <c r="B12153" s="5" t="s">
        <v>11422</v>
      </c>
      <c r="C12153" s="5" t="s">
        <v>11</v>
      </c>
      <c r="D12153" s="5" t="s">
        <v>12</v>
      </c>
      <c r="E12153" s="5" t="s">
        <v>2665</v>
      </c>
    </row>
    <row r="12154" spans="1:5" x14ac:dyDescent="0.25">
      <c r="A12154" s="5">
        <f>12146</f>
      </c>
      <c r="B12154" s="5" t="s">
        <v>11423</v>
      </c>
      <c r="C12154" s="5" t="s">
        <v>11</v>
      </c>
      <c r="D12154" s="5" t="s">
        <v>12</v>
      </c>
      <c r="E12154" s="5" t="s">
        <v>3520</v>
      </c>
    </row>
    <row r="12155" spans="1:5" x14ac:dyDescent="0.25">
      <c r="A12155" s="5">
        <f>12147</f>
      </c>
      <c r="B12155" s="5" t="s">
        <v>11424</v>
      </c>
      <c r="C12155" s="5" t="s">
        <v>11</v>
      </c>
      <c r="D12155" s="5" t="s">
        <v>12</v>
      </c>
      <c r="E12155" s="5" t="s">
        <v>2584</v>
      </c>
    </row>
    <row r="12156" spans="1:5" x14ac:dyDescent="0.25">
      <c r="A12156" s="5">
        <f>12148</f>
      </c>
      <c r="B12156" s="5" t="s">
        <v>11425</v>
      </c>
      <c r="C12156" s="5" t="s">
        <v>11</v>
      </c>
      <c r="D12156" s="5" t="s">
        <v>12</v>
      </c>
      <c r="E12156" s="5" t="s">
        <v>3771</v>
      </c>
    </row>
    <row r="12157" spans="1:5" x14ac:dyDescent="0.25">
      <c r="A12157" s="5">
        <f>12149</f>
      </c>
      <c r="B12157" s="5" t="s">
        <v>11426</v>
      </c>
      <c r="C12157" s="5" t="s">
        <v>11</v>
      </c>
      <c r="D12157" s="5" t="s">
        <v>12</v>
      </c>
      <c r="E12157" s="5" t="s">
        <v>10680</v>
      </c>
    </row>
    <row r="12158" spans="1:5" x14ac:dyDescent="0.25">
      <c r="A12158" s="5">
        <f>12150</f>
      </c>
      <c r="B12158" s="5" t="s">
        <v>11427</v>
      </c>
      <c r="C12158" s="5" t="s">
        <v>11</v>
      </c>
      <c r="D12158" s="5" t="s">
        <v>12</v>
      </c>
      <c r="E12158" s="5" t="s">
        <v>2307</v>
      </c>
    </row>
    <row r="12159" spans="1:5" x14ac:dyDescent="0.25">
      <c r="A12159" s="5">
        <f>12151</f>
      </c>
      <c r="B12159" s="5" t="s">
        <v>11428</v>
      </c>
      <c r="C12159" s="5" t="s">
        <v>11</v>
      </c>
      <c r="D12159" s="5" t="s">
        <v>12</v>
      </c>
      <c r="E12159" s="5" t="s">
        <v>2307</v>
      </c>
    </row>
    <row r="12160" spans="1:5" x14ac:dyDescent="0.25">
      <c r="A12160" s="5">
        <f>12152</f>
      </c>
      <c r="B12160" s="5" t="s">
        <v>11429</v>
      </c>
      <c r="C12160" s="5" t="s">
        <v>11</v>
      </c>
      <c r="D12160" s="5" t="s">
        <v>12</v>
      </c>
      <c r="E12160" s="5" t="s">
        <v>3674</v>
      </c>
    </row>
    <row r="12161" spans="1:5" x14ac:dyDescent="0.25">
      <c r="A12161" s="5">
        <f>12153</f>
      </c>
      <c r="B12161" s="5" t="s">
        <v>11430</v>
      </c>
      <c r="C12161" s="5" t="s">
        <v>11</v>
      </c>
      <c r="D12161" s="5" t="s">
        <v>12</v>
      </c>
      <c r="E12161" s="5" t="s">
        <v>1025</v>
      </c>
    </row>
    <row r="12162" spans="1:5" x14ac:dyDescent="0.25">
      <c r="A12162" s="5">
        <f>12154</f>
      </c>
      <c r="B12162" s="5" t="s">
        <v>11431</v>
      </c>
      <c r="C12162" s="5" t="s">
        <v>11</v>
      </c>
      <c r="D12162" s="5" t="s">
        <v>12</v>
      </c>
      <c r="E12162" s="5" t="s">
        <v>1025</v>
      </c>
    </row>
    <row r="12163" spans="1:5" x14ac:dyDescent="0.25">
      <c r="A12163" s="5">
        <f>12155</f>
      </c>
      <c r="B12163" s="5" t="s">
        <v>11432</v>
      </c>
      <c r="C12163" s="5" t="s">
        <v>11</v>
      </c>
      <c r="D12163" s="5" t="s">
        <v>12</v>
      </c>
      <c r="E12163" s="5" t="s">
        <v>3866</v>
      </c>
    </row>
    <row r="12164" spans="1:5" x14ac:dyDescent="0.25">
      <c r="A12164" s="5">
        <f>12156</f>
      </c>
      <c r="B12164" s="5" t="s">
        <v>11433</v>
      </c>
      <c r="C12164" s="5" t="s">
        <v>11</v>
      </c>
      <c r="D12164" s="5" t="s">
        <v>12</v>
      </c>
      <c r="E12164" s="5" t="s">
        <v>3774</v>
      </c>
    </row>
    <row r="12165" spans="1:5" x14ac:dyDescent="0.25">
      <c r="A12165" s="5">
        <f>12157</f>
      </c>
      <c r="B12165" s="5" t="s">
        <v>11434</v>
      </c>
      <c r="C12165" s="5" t="s">
        <v>11</v>
      </c>
      <c r="D12165" s="5" t="s">
        <v>12</v>
      </c>
      <c r="E12165" s="5" t="s">
        <v>10622</v>
      </c>
    </row>
    <row r="12166" spans="1:5" x14ac:dyDescent="0.25">
      <c r="A12166" s="5">
        <f>12158</f>
      </c>
      <c r="B12166" s="5" t="s">
        <v>11435</v>
      </c>
      <c r="C12166" s="5" t="s">
        <v>11</v>
      </c>
      <c r="D12166" s="5" t="s">
        <v>12</v>
      </c>
      <c r="E12166" s="5" t="s">
        <v>2588</v>
      </c>
    </row>
    <row r="12167" spans="1:5" x14ac:dyDescent="0.25">
      <c r="A12167" s="5">
        <f>12159</f>
      </c>
      <c r="B12167" s="5" t="s">
        <v>11436</v>
      </c>
      <c r="C12167" s="5" t="s">
        <v>11</v>
      </c>
      <c r="D12167" s="5" t="s">
        <v>12</v>
      </c>
      <c r="E12167" s="5" t="s">
        <v>826</v>
      </c>
    </row>
    <row r="12168" spans="1:5" x14ac:dyDescent="0.25">
      <c r="A12168" s="5">
        <f>12160</f>
      </c>
      <c r="B12168" s="5" t="s">
        <v>11437</v>
      </c>
      <c r="C12168" s="5" t="s">
        <v>11</v>
      </c>
      <c r="D12168" s="5" t="s">
        <v>12</v>
      </c>
      <c r="E12168" s="5" t="s">
        <v>11438</v>
      </c>
    </row>
    <row r="12169" spans="1:5" x14ac:dyDescent="0.25">
      <c r="A12169" s="5">
        <f>12161</f>
      </c>
      <c r="B12169" s="5" t="s">
        <v>11439</v>
      </c>
      <c r="C12169" s="5" t="s">
        <v>11</v>
      </c>
      <c r="D12169" s="5" t="s">
        <v>12</v>
      </c>
      <c r="E12169" s="5" t="s">
        <v>3571</v>
      </c>
    </row>
    <row r="12170" spans="1:5" x14ac:dyDescent="0.25">
      <c r="A12170" s="5">
        <f>12162</f>
      </c>
      <c r="B12170" s="5" t="s">
        <v>11440</v>
      </c>
      <c r="C12170" s="5" t="s">
        <v>11</v>
      </c>
      <c r="D12170" s="5" t="s">
        <v>12</v>
      </c>
      <c r="E12170" s="5" t="s">
        <v>3490</v>
      </c>
    </row>
    <row r="12171" spans="1:5" x14ac:dyDescent="0.25">
      <c r="A12171" s="5">
        <f>12163</f>
      </c>
      <c r="B12171" s="5" t="s">
        <v>11441</v>
      </c>
      <c r="C12171" s="5" t="s">
        <v>11</v>
      </c>
      <c r="D12171" s="5" t="s">
        <v>12</v>
      </c>
      <c r="E12171" s="5" t="s">
        <v>2584</v>
      </c>
    </row>
    <row r="12172" spans="1:5" x14ac:dyDescent="0.25">
      <c r="A12172" s="5">
        <f>12164</f>
      </c>
      <c r="B12172" s="5" t="s">
        <v>11442</v>
      </c>
      <c r="C12172" s="5" t="s">
        <v>11</v>
      </c>
      <c r="D12172" s="5" t="s">
        <v>12</v>
      </c>
      <c r="E12172" s="5" t="s">
        <v>2869</v>
      </c>
    </row>
    <row r="12173" spans="1:5" x14ac:dyDescent="0.25">
      <c r="A12173" s="5">
        <f>12165</f>
      </c>
      <c r="B12173" s="5" t="s">
        <v>11443</v>
      </c>
      <c r="C12173" s="5" t="s">
        <v>11</v>
      </c>
      <c r="D12173" s="5" t="s">
        <v>12</v>
      </c>
      <c r="E12173" s="5" t="s">
        <v>2586</v>
      </c>
    </row>
    <row r="12174" spans="1:5" x14ac:dyDescent="0.25">
      <c r="A12174" s="5">
        <f>12166</f>
      </c>
      <c r="B12174" s="5" t="s">
        <v>11444</v>
      </c>
      <c r="C12174" s="5" t="s">
        <v>11</v>
      </c>
      <c r="D12174" s="5" t="s">
        <v>12</v>
      </c>
      <c r="E12174" s="5" t="s">
        <v>3506</v>
      </c>
    </row>
    <row r="12175" spans="1:5" x14ac:dyDescent="0.25">
      <c r="A12175" s="5">
        <f>12167</f>
      </c>
      <c r="B12175" s="5" t="s">
        <v>11445</v>
      </c>
      <c r="C12175" s="5" t="s">
        <v>11</v>
      </c>
      <c r="D12175" s="5" t="s">
        <v>12</v>
      </c>
      <c r="E12175" s="5" t="s">
        <v>2626</v>
      </c>
    </row>
    <row r="12176" spans="1:5" x14ac:dyDescent="0.25">
      <c r="A12176" s="5">
        <f>12168</f>
      </c>
      <c r="B12176" s="5" t="s">
        <v>11446</v>
      </c>
      <c r="C12176" s="5" t="s">
        <v>11</v>
      </c>
      <c r="D12176" s="5" t="s">
        <v>12</v>
      </c>
      <c r="E12176" s="5" t="s">
        <v>2404</v>
      </c>
    </row>
    <row r="12177" spans="1:5" x14ac:dyDescent="0.25">
      <c r="A12177" s="5">
        <f>12169</f>
      </c>
      <c r="B12177" s="5" t="s">
        <v>11447</v>
      </c>
      <c r="C12177" s="5" t="s">
        <v>11</v>
      </c>
      <c r="D12177" s="5" t="s">
        <v>12</v>
      </c>
      <c r="E12177" s="5" t="s">
        <v>4084</v>
      </c>
    </row>
    <row r="12178" spans="1:5" x14ac:dyDescent="0.25">
      <c r="A12178" s="5">
        <f>12170</f>
      </c>
      <c r="B12178" s="5" t="s">
        <v>11448</v>
      </c>
      <c r="C12178" s="5" t="s">
        <v>11</v>
      </c>
      <c r="D12178" s="5" t="s">
        <v>12</v>
      </c>
      <c r="E12178" s="5" t="s">
        <v>832</v>
      </c>
    </row>
    <row r="12179" spans="1:5" x14ac:dyDescent="0.25">
      <c r="A12179" s="5">
        <f>12171</f>
      </c>
      <c r="B12179" s="5" t="s">
        <v>11449</v>
      </c>
      <c r="C12179" s="5" t="s">
        <v>11</v>
      </c>
      <c r="D12179" s="5" t="s">
        <v>12</v>
      </c>
      <c r="E12179" s="5" t="s">
        <v>3538</v>
      </c>
    </row>
    <row r="12180" spans="1:5" x14ac:dyDescent="0.25">
      <c r="A12180" s="5">
        <f>12172</f>
      </c>
      <c r="B12180" s="5" t="s">
        <v>11450</v>
      </c>
      <c r="C12180" s="5" t="s">
        <v>11</v>
      </c>
      <c r="D12180" s="5" t="s">
        <v>12</v>
      </c>
      <c r="E12180" s="5" t="s">
        <v>3571</v>
      </c>
    </row>
    <row r="12181" spans="1:5" x14ac:dyDescent="0.25">
      <c r="A12181" s="5">
        <f>12173</f>
      </c>
      <c r="B12181" s="5" t="s">
        <v>11451</v>
      </c>
      <c r="C12181" s="5" t="s">
        <v>11</v>
      </c>
      <c r="D12181" s="5" t="s">
        <v>12</v>
      </c>
      <c r="E12181" s="5" t="s">
        <v>3761</v>
      </c>
    </row>
    <row r="12182" spans="1:5" x14ac:dyDescent="0.25">
      <c r="A12182" s="5">
        <f>12174</f>
      </c>
      <c r="B12182" s="5" t="s">
        <v>11452</v>
      </c>
      <c r="C12182" s="5" t="s">
        <v>11</v>
      </c>
      <c r="D12182" s="5" t="s">
        <v>12</v>
      </c>
      <c r="E12182" s="5" t="s">
        <v>10683</v>
      </c>
    </row>
    <row r="12183" spans="1:5" x14ac:dyDescent="0.25">
      <c r="A12183" s="5">
        <f>12175</f>
      </c>
      <c r="B12183" s="5" t="s">
        <v>11453</v>
      </c>
      <c r="C12183" s="5" t="s">
        <v>11</v>
      </c>
      <c r="D12183" s="5" t="s">
        <v>12</v>
      </c>
      <c r="E12183" s="5" t="s">
        <v>2396</v>
      </c>
    </row>
    <row r="12184" spans="1:5" x14ac:dyDescent="0.25">
      <c r="A12184" s="5">
        <f>12176</f>
      </c>
      <c r="B12184" s="5" t="s">
        <v>11454</v>
      </c>
      <c r="C12184" s="5" t="s">
        <v>11</v>
      </c>
      <c r="D12184" s="5" t="s">
        <v>12</v>
      </c>
      <c r="E12184" s="5" t="s">
        <v>3716</v>
      </c>
    </row>
    <row r="12185" spans="1:5" x14ac:dyDescent="0.25">
      <c r="A12185" s="5">
        <f>12177</f>
      </c>
      <c r="B12185" s="5" t="s">
        <v>11455</v>
      </c>
      <c r="C12185" s="5" t="s">
        <v>11</v>
      </c>
      <c r="D12185" s="5" t="s">
        <v>12</v>
      </c>
      <c r="E12185" s="5" t="s">
        <v>2668</v>
      </c>
    </row>
    <row r="12186" spans="1:5" x14ac:dyDescent="0.25">
      <c r="A12186" s="5">
        <f>12178</f>
      </c>
      <c r="B12186" s="5" t="s">
        <v>11456</v>
      </c>
      <c r="C12186" s="5" t="s">
        <v>11</v>
      </c>
      <c r="D12186" s="5" t="s">
        <v>12</v>
      </c>
      <c r="E12186" s="5" t="s">
        <v>2384</v>
      </c>
    </row>
    <row r="12187" spans="1:5" x14ac:dyDescent="0.25">
      <c r="A12187" s="5">
        <f>12179</f>
      </c>
      <c r="B12187" s="5" t="s">
        <v>11457</v>
      </c>
      <c r="C12187" s="5" t="s">
        <v>11</v>
      </c>
      <c r="D12187" s="5" t="s">
        <v>12</v>
      </c>
      <c r="E12187" s="5" t="s">
        <v>3589</v>
      </c>
    </row>
    <row r="12188" spans="1:5" x14ac:dyDescent="0.25">
      <c r="A12188" s="5">
        <f>12180</f>
      </c>
      <c r="B12188" s="5" t="s">
        <v>11458</v>
      </c>
      <c r="C12188" s="5" t="s">
        <v>11</v>
      </c>
      <c r="D12188" s="5" t="s">
        <v>12</v>
      </c>
      <c r="E12188" s="5" t="s">
        <v>3518</v>
      </c>
    </row>
    <row r="12189" spans="1:5" x14ac:dyDescent="0.25">
      <c r="A12189" s="5">
        <f>12181</f>
      </c>
      <c r="B12189" s="5" t="s">
        <v>11459</v>
      </c>
      <c r="C12189" s="5" t="s">
        <v>11</v>
      </c>
      <c r="D12189" s="5" t="s">
        <v>12</v>
      </c>
      <c r="E12189" s="5" t="s">
        <v>3664</v>
      </c>
    </row>
    <row r="12190" spans="1:5" x14ac:dyDescent="0.25">
      <c r="A12190" s="5">
        <f>12182</f>
      </c>
      <c r="B12190" s="5" t="s">
        <v>11460</v>
      </c>
      <c r="C12190" s="5" t="s">
        <v>11</v>
      </c>
      <c r="D12190" s="5" t="s">
        <v>12</v>
      </c>
      <c r="E12190" s="5" t="s">
        <v>10574</v>
      </c>
    </row>
    <row r="12191" spans="1:5" x14ac:dyDescent="0.25">
      <c r="A12191" s="5">
        <f>12183</f>
      </c>
      <c r="B12191" s="5" t="s">
        <v>11461</v>
      </c>
      <c r="C12191" s="5" t="s">
        <v>11</v>
      </c>
      <c r="D12191" s="5" t="s">
        <v>12</v>
      </c>
      <c r="E12191" s="5" t="s">
        <v>2386</v>
      </c>
    </row>
    <row r="12192" spans="1:5" x14ac:dyDescent="0.25">
      <c r="A12192" s="5">
        <f>12184</f>
      </c>
      <c r="B12192" s="5" t="s">
        <v>11462</v>
      </c>
      <c r="C12192" s="5" t="s">
        <v>11</v>
      </c>
      <c r="D12192" s="5" t="s">
        <v>12</v>
      </c>
      <c r="E12192" s="5" t="s">
        <v>2386</v>
      </c>
    </row>
    <row r="12193" spans="1:5" x14ac:dyDescent="0.25">
      <c r="A12193" s="5">
        <f>12185</f>
      </c>
      <c r="B12193" s="5" t="s">
        <v>11463</v>
      </c>
      <c r="C12193" s="5" t="s">
        <v>11</v>
      </c>
      <c r="D12193" s="5" t="s">
        <v>12</v>
      </c>
      <c r="E12193" s="5" t="s">
        <v>2285</v>
      </c>
    </row>
    <row r="12194" spans="1:5" x14ac:dyDescent="0.25">
      <c r="A12194" s="5">
        <f>12186</f>
      </c>
      <c r="B12194" s="5" t="s">
        <v>11464</v>
      </c>
      <c r="C12194" s="5" t="s">
        <v>11</v>
      </c>
      <c r="D12194" s="5" t="s">
        <v>12</v>
      </c>
      <c r="E12194" s="5" t="s">
        <v>1030</v>
      </c>
    </row>
    <row r="12195" spans="1:5" x14ac:dyDescent="0.25">
      <c r="A12195" s="5">
        <f>12187</f>
      </c>
      <c r="B12195" s="5" t="s">
        <v>11465</v>
      </c>
      <c r="C12195" s="5" t="s">
        <v>11</v>
      </c>
      <c r="D12195" s="5" t="s">
        <v>12</v>
      </c>
      <c r="E12195" s="5" t="s">
        <v>2409</v>
      </c>
    </row>
    <row r="12196" spans="1:5" x14ac:dyDescent="0.25">
      <c r="A12196" s="5">
        <f>12188</f>
      </c>
      <c r="B12196" s="5" t="s">
        <v>11466</v>
      </c>
      <c r="C12196" s="5" t="s">
        <v>11</v>
      </c>
      <c r="D12196" s="5" t="s">
        <v>12</v>
      </c>
      <c r="E12196" s="5" t="s">
        <v>2592</v>
      </c>
    </row>
    <row r="12197" spans="1:5" x14ac:dyDescent="0.25">
      <c r="A12197" s="5">
        <f>12189</f>
      </c>
      <c r="B12197" s="5" t="s">
        <v>11467</v>
      </c>
      <c r="C12197" s="5" t="s">
        <v>11</v>
      </c>
      <c r="D12197" s="5" t="s">
        <v>12</v>
      </c>
      <c r="E12197" s="5" t="s">
        <v>2575</v>
      </c>
    </row>
    <row r="12198" spans="1:5" x14ac:dyDescent="0.25">
      <c r="A12198" s="5">
        <f>12190</f>
      </c>
      <c r="B12198" s="5" t="s">
        <v>11468</v>
      </c>
      <c r="C12198" s="5" t="s">
        <v>11</v>
      </c>
      <c r="D12198" s="5" t="s">
        <v>12</v>
      </c>
      <c r="E12198" s="5" t="s">
        <v>2257</v>
      </c>
    </row>
    <row r="12199" spans="1:5" x14ac:dyDescent="0.25">
      <c r="A12199" s="5">
        <f>12191</f>
      </c>
      <c r="B12199" s="5" t="s">
        <v>11469</v>
      </c>
      <c r="C12199" s="5" t="s">
        <v>11</v>
      </c>
      <c r="D12199" s="5" t="s">
        <v>12</v>
      </c>
      <c r="E12199" s="5" t="s">
        <v>10574</v>
      </c>
    </row>
    <row r="12200" spans="1:5" x14ac:dyDescent="0.25">
      <c r="A12200" s="5">
        <f>12192</f>
      </c>
      <c r="B12200" s="5" t="s">
        <v>11470</v>
      </c>
      <c r="C12200" s="5" t="s">
        <v>11</v>
      </c>
      <c r="D12200" s="5" t="s">
        <v>12</v>
      </c>
      <c r="E12200" s="5" t="s">
        <v>2619</v>
      </c>
    </row>
    <row r="12201" spans="1:5" x14ac:dyDescent="0.25">
      <c r="A12201" s="5">
        <f>12193</f>
      </c>
      <c r="B12201" s="5" t="s">
        <v>11471</v>
      </c>
      <c r="C12201" s="5" t="s">
        <v>11</v>
      </c>
      <c r="D12201" s="5" t="s">
        <v>12</v>
      </c>
      <c r="E12201" s="5" t="s">
        <v>1042</v>
      </c>
    </row>
    <row r="12202" spans="1:5" x14ac:dyDescent="0.25">
      <c r="A12202" s="5">
        <f>12194</f>
      </c>
      <c r="B12202" s="5" t="s">
        <v>11472</v>
      </c>
      <c r="C12202" s="5" t="s">
        <v>11</v>
      </c>
      <c r="D12202" s="5" t="s">
        <v>12</v>
      </c>
      <c r="E12202" s="5" t="s">
        <v>938</v>
      </c>
    </row>
    <row r="12203" spans="1:5" x14ac:dyDescent="0.25">
      <c r="A12203" s="5">
        <f>12195</f>
      </c>
      <c r="B12203" s="5" t="s">
        <v>11473</v>
      </c>
      <c r="C12203" s="5" t="s">
        <v>11</v>
      </c>
      <c r="D12203" s="5" t="s">
        <v>12</v>
      </c>
      <c r="E12203" s="5" t="s">
        <v>2296</v>
      </c>
    </row>
    <row r="12204" spans="1:5" x14ac:dyDescent="0.25">
      <c r="A12204" s="5">
        <f>12196</f>
      </c>
      <c r="B12204" s="5" t="s">
        <v>11474</v>
      </c>
      <c r="C12204" s="5" t="s">
        <v>11</v>
      </c>
      <c r="D12204" s="5" t="s">
        <v>12</v>
      </c>
      <c r="E12204" s="5" t="s">
        <v>11475</v>
      </c>
    </row>
    <row r="12205" spans="1:5" x14ac:dyDescent="0.25">
      <c r="A12205" s="5">
        <f>12197</f>
      </c>
      <c r="B12205" s="5" t="s">
        <v>11476</v>
      </c>
      <c r="C12205" s="5" t="s">
        <v>11</v>
      </c>
      <c r="D12205" s="5" t="s">
        <v>12</v>
      </c>
      <c r="E12205" s="5" t="s">
        <v>770</v>
      </c>
    </row>
    <row r="12206" spans="1:5" x14ac:dyDescent="0.25">
      <c r="A12206" s="5">
        <f>12198</f>
      </c>
      <c r="B12206" s="5" t="s">
        <v>11477</v>
      </c>
      <c r="C12206" s="5" t="s">
        <v>11</v>
      </c>
      <c r="D12206" s="5" t="s">
        <v>12</v>
      </c>
      <c r="E12206" s="5" t="s">
        <v>772</v>
      </c>
    </row>
    <row r="12207" spans="1:5" x14ac:dyDescent="0.25">
      <c r="A12207" s="5">
        <f>12199</f>
      </c>
      <c r="B12207" s="5" t="s">
        <v>11478</v>
      </c>
      <c r="C12207" s="5" t="s">
        <v>11</v>
      </c>
      <c r="D12207" s="5" t="s">
        <v>12</v>
      </c>
      <c r="E12207" s="5" t="s">
        <v>2396</v>
      </c>
    </row>
    <row r="12208" spans="1:5" x14ac:dyDescent="0.25">
      <c r="A12208" s="5">
        <f>12200</f>
      </c>
      <c r="B12208" s="5" t="s">
        <v>11479</v>
      </c>
      <c r="C12208" s="5" t="s">
        <v>11</v>
      </c>
      <c r="D12208" s="5" t="s">
        <v>12</v>
      </c>
      <c r="E12208" s="5" t="s">
        <v>10756</v>
      </c>
    </row>
    <row r="12209" spans="1:5" x14ac:dyDescent="0.25">
      <c r="A12209" s="5">
        <f>12201</f>
      </c>
      <c r="B12209" s="5" t="s">
        <v>11480</v>
      </c>
      <c r="C12209" s="5" t="s">
        <v>11</v>
      </c>
      <c r="D12209" s="5" t="s">
        <v>12</v>
      </c>
      <c r="E12209" s="5" t="s">
        <v>2610</v>
      </c>
    </row>
    <row r="12210" spans="1:5" x14ac:dyDescent="0.25">
      <c r="A12210" s="5">
        <f>12202</f>
      </c>
      <c r="B12210" s="5" t="s">
        <v>11481</v>
      </c>
      <c r="C12210" s="5" t="s">
        <v>11</v>
      </c>
      <c r="D12210" s="5" t="s">
        <v>12</v>
      </c>
      <c r="E12210" s="5" t="s">
        <v>9578</v>
      </c>
    </row>
    <row r="12211" spans="1:5" x14ac:dyDescent="0.25">
      <c r="A12211" s="5">
        <f>12203</f>
      </c>
      <c r="B12211" s="5" t="s">
        <v>11482</v>
      </c>
      <c r="C12211" s="5" t="s">
        <v>11</v>
      </c>
      <c r="D12211" s="5" t="s">
        <v>12</v>
      </c>
      <c r="E12211" s="5" t="s">
        <v>3565</v>
      </c>
    </row>
    <row r="12212" spans="1:5" x14ac:dyDescent="0.25">
      <c r="A12212" s="5">
        <f>12204</f>
      </c>
      <c r="B12212" s="5" t="s">
        <v>11483</v>
      </c>
      <c r="C12212" s="5" t="s">
        <v>11</v>
      </c>
      <c r="D12212" s="5" t="s">
        <v>12</v>
      </c>
      <c r="E12212" s="5" t="s">
        <v>2588</v>
      </c>
    </row>
    <row r="12213" spans="1:5" x14ac:dyDescent="0.25">
      <c r="A12213" s="5">
        <f>12205</f>
      </c>
      <c r="B12213" s="5" t="s">
        <v>11484</v>
      </c>
      <c r="C12213" s="5" t="s">
        <v>11</v>
      </c>
      <c r="D12213" s="5" t="s">
        <v>12</v>
      </c>
      <c r="E12213" s="5" t="s">
        <v>726</v>
      </c>
    </row>
    <row r="12214" spans="1:5" x14ac:dyDescent="0.25">
      <c r="A12214" s="5">
        <f>12206</f>
      </c>
      <c r="B12214" s="5" t="s">
        <v>11485</v>
      </c>
      <c r="C12214" s="5" t="s">
        <v>11</v>
      </c>
      <c r="D12214" s="5" t="s">
        <v>12</v>
      </c>
      <c r="E12214" s="5" t="s">
        <v>2641</v>
      </c>
    </row>
    <row r="12215" spans="1:5" x14ac:dyDescent="0.25">
      <c r="A12215" s="5">
        <f>12207</f>
      </c>
      <c r="B12215" s="5" t="s">
        <v>11486</v>
      </c>
      <c r="C12215" s="5" t="s">
        <v>11</v>
      </c>
      <c r="D12215" s="5" t="s">
        <v>12</v>
      </c>
      <c r="E12215" s="5" t="s">
        <v>3680</v>
      </c>
    </row>
    <row r="12216" spans="1:5" x14ac:dyDescent="0.25">
      <c r="A12216" s="5">
        <f>12208</f>
      </c>
      <c r="B12216" s="5" t="s">
        <v>11487</v>
      </c>
      <c r="C12216" s="5" t="s">
        <v>11</v>
      </c>
      <c r="D12216" s="5" t="s">
        <v>12</v>
      </c>
      <c r="E12216" s="5" t="s">
        <v>724</v>
      </c>
    </row>
    <row r="12217" spans="1:5" x14ac:dyDescent="0.25">
      <c r="A12217" s="5">
        <f>12209</f>
      </c>
      <c r="B12217" s="5" t="s">
        <v>11488</v>
      </c>
      <c r="C12217" s="5" t="s">
        <v>11</v>
      </c>
      <c r="D12217" s="5" t="s">
        <v>12</v>
      </c>
      <c r="E12217" s="5" t="s">
        <v>2333</v>
      </c>
    </row>
    <row r="12218" spans="1:5" x14ac:dyDescent="0.25">
      <c r="A12218" s="5">
        <f>12210</f>
      </c>
      <c r="B12218" s="5" t="s">
        <v>11489</v>
      </c>
      <c r="C12218" s="5" t="s">
        <v>11</v>
      </c>
      <c r="D12218" s="5" t="s">
        <v>12</v>
      </c>
      <c r="E12218" s="5" t="s">
        <v>1051</v>
      </c>
    </row>
    <row r="12219" spans="1:5" x14ac:dyDescent="0.25">
      <c r="A12219" s="5">
        <f>12211</f>
      </c>
      <c r="B12219" s="5" t="s">
        <v>11490</v>
      </c>
      <c r="C12219" s="5" t="s">
        <v>11</v>
      </c>
      <c r="D12219" s="5" t="s">
        <v>12</v>
      </c>
      <c r="E12219" s="5" t="s">
        <v>2648</v>
      </c>
    </row>
    <row r="12220" spans="1:5" x14ac:dyDescent="0.25">
      <c r="A12220" s="5">
        <f>12212</f>
      </c>
      <c r="B12220" s="5" t="s">
        <v>11491</v>
      </c>
      <c r="C12220" s="5" t="s">
        <v>11</v>
      </c>
      <c r="D12220" s="5" t="s">
        <v>12</v>
      </c>
      <c r="E12220" s="5" t="s">
        <v>3545</v>
      </c>
    </row>
    <row r="12221" spans="1:5" x14ac:dyDescent="0.25">
      <c r="A12221" s="5">
        <f>12213</f>
      </c>
      <c r="B12221" s="5" t="s">
        <v>11492</v>
      </c>
      <c r="C12221" s="5" t="s">
        <v>11</v>
      </c>
      <c r="D12221" s="5" t="s">
        <v>12</v>
      </c>
      <c r="E12221" s="5" t="s">
        <v>3386</v>
      </c>
    </row>
    <row r="12222" spans="1:5" x14ac:dyDescent="0.25">
      <c r="A12222" s="5">
        <f>12214</f>
      </c>
      <c r="B12222" s="5" t="s">
        <v>11493</v>
      </c>
      <c r="C12222" s="5" t="s">
        <v>11</v>
      </c>
      <c r="D12222" s="5" t="s">
        <v>12</v>
      </c>
      <c r="E12222" s="5" t="s">
        <v>4103</v>
      </c>
    </row>
    <row r="12223" spans="1:5" x14ac:dyDescent="0.25">
      <c r="A12223" s="5">
        <f>12215</f>
      </c>
      <c r="B12223" s="5" t="s">
        <v>11494</v>
      </c>
      <c r="C12223" s="5" t="s">
        <v>11</v>
      </c>
      <c r="D12223" s="5" t="s">
        <v>12</v>
      </c>
      <c r="E12223" s="5" t="s">
        <v>917</v>
      </c>
    </row>
    <row r="12224" spans="1:5" x14ac:dyDescent="0.25">
      <c r="A12224" s="5">
        <f>12216</f>
      </c>
      <c r="B12224" s="5" t="s">
        <v>11495</v>
      </c>
      <c r="C12224" s="5" t="s">
        <v>11</v>
      </c>
      <c r="D12224" s="5" t="s">
        <v>12</v>
      </c>
      <c r="E12224" s="5" t="s">
        <v>736</v>
      </c>
    </row>
    <row r="12225" spans="1:5" x14ac:dyDescent="0.25">
      <c r="A12225" s="5">
        <f>12217</f>
      </c>
      <c r="B12225" s="5" t="s">
        <v>11496</v>
      </c>
      <c r="C12225" s="5" t="s">
        <v>11</v>
      </c>
      <c r="D12225" s="5" t="s">
        <v>12</v>
      </c>
      <c r="E12225" s="5" t="s">
        <v>1056</v>
      </c>
    </row>
    <row r="12226" spans="1:5" x14ac:dyDescent="0.25">
      <c r="A12226" s="5">
        <f>12218</f>
      </c>
      <c r="B12226" s="5" t="s">
        <v>11497</v>
      </c>
      <c r="C12226" s="5" t="s">
        <v>11</v>
      </c>
      <c r="D12226" s="5" t="s">
        <v>12</v>
      </c>
      <c r="E12226" s="5" t="s">
        <v>9521</v>
      </c>
    </row>
    <row r="12227" spans="1:5" x14ac:dyDescent="0.25">
      <c r="A12227" s="5">
        <f>12219</f>
      </c>
      <c r="B12227" s="5" t="s">
        <v>11498</v>
      </c>
      <c r="C12227" s="5" t="s">
        <v>11</v>
      </c>
      <c r="D12227" s="5" t="s">
        <v>12</v>
      </c>
      <c r="E12227" s="5" t="s">
        <v>2626</v>
      </c>
    </row>
    <row r="12228" spans="1:5" x14ac:dyDescent="0.25">
      <c r="A12228" s="5">
        <f>12220</f>
      </c>
      <c r="B12228" s="5" t="s">
        <v>11499</v>
      </c>
      <c r="C12228" s="5" t="s">
        <v>11</v>
      </c>
      <c r="D12228" s="5" t="s">
        <v>12</v>
      </c>
      <c r="E12228" s="5" t="s">
        <v>4142</v>
      </c>
    </row>
    <row r="12229" spans="1:5" x14ac:dyDescent="0.25">
      <c r="A12229" s="5">
        <f>12221</f>
      </c>
      <c r="B12229" s="5" t="s">
        <v>11500</v>
      </c>
      <c r="C12229" s="5" t="s">
        <v>11</v>
      </c>
      <c r="D12229" s="5" t="s">
        <v>12</v>
      </c>
      <c r="E12229" s="5" t="s">
        <v>3604</v>
      </c>
    </row>
    <row r="12230" spans="1:5" x14ac:dyDescent="0.25">
      <c r="A12230" s="5">
        <f>12222</f>
      </c>
      <c r="B12230" s="5" t="s">
        <v>11501</v>
      </c>
      <c r="C12230" s="5" t="s">
        <v>11</v>
      </c>
      <c r="D12230" s="5" t="s">
        <v>12</v>
      </c>
      <c r="E12230" s="5" t="s">
        <v>2304</v>
      </c>
    </row>
    <row r="12231" spans="1:5" x14ac:dyDescent="0.25">
      <c r="A12231" s="5">
        <f>12223</f>
      </c>
      <c r="B12231" s="5" t="s">
        <v>11502</v>
      </c>
      <c r="C12231" s="5" t="s">
        <v>11</v>
      </c>
      <c r="D12231" s="5" t="s">
        <v>12</v>
      </c>
      <c r="E12231" s="5" t="s">
        <v>3932</v>
      </c>
    </row>
    <row r="12232" spans="1:5" x14ac:dyDescent="0.25">
      <c r="A12232" s="5">
        <f>12224</f>
      </c>
      <c r="B12232" s="5" t="s">
        <v>11503</v>
      </c>
      <c r="C12232" s="5" t="s">
        <v>11</v>
      </c>
      <c r="D12232" s="5" t="s">
        <v>12</v>
      </c>
      <c r="E12232" s="5" t="s">
        <v>4084</v>
      </c>
    </row>
    <row r="12233" spans="1:5" x14ac:dyDescent="0.25">
      <c r="A12233" s="5">
        <f>12225</f>
      </c>
      <c r="B12233" s="5" t="s">
        <v>11504</v>
      </c>
      <c r="C12233" s="5" t="s">
        <v>11</v>
      </c>
      <c r="D12233" s="5" t="s">
        <v>12</v>
      </c>
      <c r="E12233" s="5" t="s">
        <v>835</v>
      </c>
    </row>
    <row r="12234" spans="1:5" x14ac:dyDescent="0.25">
      <c r="A12234" s="5">
        <f>12226</f>
      </c>
      <c r="B12234" s="5" t="s">
        <v>11505</v>
      </c>
      <c r="C12234" s="5" t="s">
        <v>11</v>
      </c>
      <c r="D12234" s="5" t="s">
        <v>12</v>
      </c>
      <c r="E12234" s="5" t="s">
        <v>10756</v>
      </c>
    </row>
    <row r="12235" spans="1:5" x14ac:dyDescent="0.25">
      <c r="A12235" s="5">
        <f>12227</f>
      </c>
      <c r="B12235" s="5" t="s">
        <v>11506</v>
      </c>
      <c r="C12235" s="5" t="s">
        <v>11</v>
      </c>
      <c r="D12235" s="5" t="s">
        <v>12</v>
      </c>
      <c r="E12235" s="5" t="s">
        <v>3879</v>
      </c>
    </row>
    <row r="12236" spans="1:5" x14ac:dyDescent="0.25">
      <c r="A12236" s="5">
        <f>12228</f>
      </c>
      <c r="B12236" s="5" t="s">
        <v>11507</v>
      </c>
      <c r="C12236" s="5" t="s">
        <v>11</v>
      </c>
      <c r="D12236" s="5" t="s">
        <v>12</v>
      </c>
      <c r="E12236" s="5" t="s">
        <v>11362</v>
      </c>
    </row>
    <row r="12237" spans="1:5" x14ac:dyDescent="0.25">
      <c r="A12237" s="5">
        <f>12229</f>
      </c>
      <c r="B12237" s="5" t="s">
        <v>11508</v>
      </c>
      <c r="C12237" s="5" t="s">
        <v>11</v>
      </c>
      <c r="D12237" s="5" t="s">
        <v>12</v>
      </c>
      <c r="E12237" s="5" t="s">
        <v>726</v>
      </c>
    </row>
    <row r="12238" spans="1:5" x14ac:dyDescent="0.25">
      <c r="A12238" s="5">
        <f>12230</f>
      </c>
      <c r="B12238" s="5" t="s">
        <v>11509</v>
      </c>
      <c r="C12238" s="5" t="s">
        <v>11</v>
      </c>
      <c r="D12238" s="5" t="s">
        <v>12</v>
      </c>
      <c r="E12238" s="5" t="s">
        <v>770</v>
      </c>
    </row>
    <row r="12239" spans="1:5" x14ac:dyDescent="0.25">
      <c r="A12239" s="5">
        <f>12231</f>
      </c>
      <c r="B12239" s="5" t="s">
        <v>11510</v>
      </c>
      <c r="C12239" s="5" t="s">
        <v>11</v>
      </c>
      <c r="D12239" s="5" t="s">
        <v>12</v>
      </c>
      <c r="E12239" s="5" t="s">
        <v>2645</v>
      </c>
    </row>
    <row r="12240" spans="1:5" x14ac:dyDescent="0.25">
      <c r="A12240" s="5">
        <f>12232</f>
      </c>
      <c r="B12240" s="5" t="s">
        <v>11511</v>
      </c>
      <c r="C12240" s="5" t="s">
        <v>11</v>
      </c>
      <c r="D12240" s="5" t="s">
        <v>12</v>
      </c>
      <c r="E12240" s="5" t="s">
        <v>2247</v>
      </c>
    </row>
    <row r="12241" spans="1:5" x14ac:dyDescent="0.25">
      <c r="A12241" s="5">
        <f>12233</f>
      </c>
      <c r="B12241" s="5" t="s">
        <v>11512</v>
      </c>
      <c r="C12241" s="5" t="s">
        <v>11</v>
      </c>
      <c r="D12241" s="5" t="s">
        <v>12</v>
      </c>
      <c r="E12241" s="5" t="s">
        <v>993</v>
      </c>
    </row>
    <row r="12242" spans="1:5" x14ac:dyDescent="0.25">
      <c r="A12242" s="5">
        <f>12234</f>
      </c>
      <c r="B12242" s="5" t="s">
        <v>11513</v>
      </c>
      <c r="C12242" s="5" t="s">
        <v>11</v>
      </c>
      <c r="D12242" s="5" t="s">
        <v>12</v>
      </c>
      <c r="E12242" s="5" t="s">
        <v>726</v>
      </c>
    </row>
    <row r="12243" spans="1:5" x14ac:dyDescent="0.25">
      <c r="A12243" s="5">
        <f>12235</f>
      </c>
      <c r="B12243" s="5" t="s">
        <v>11514</v>
      </c>
      <c r="C12243" s="5" t="s">
        <v>11</v>
      </c>
      <c r="D12243" s="5" t="s">
        <v>12</v>
      </c>
      <c r="E12243" s="5" t="s">
        <v>2639</v>
      </c>
    </row>
    <row r="12244" spans="1:5" x14ac:dyDescent="0.25">
      <c r="A12244" s="5">
        <f>12236</f>
      </c>
      <c r="B12244" s="5" t="s">
        <v>11515</v>
      </c>
      <c r="C12244" s="5" t="s">
        <v>11</v>
      </c>
      <c r="D12244" s="5" t="s">
        <v>12</v>
      </c>
      <c r="E12244" s="5" t="s">
        <v>772</v>
      </c>
    </row>
    <row r="12245" spans="1:5" x14ac:dyDescent="0.25">
      <c r="A12245" s="5">
        <f>12237</f>
      </c>
      <c r="B12245" s="5" t="s">
        <v>11516</v>
      </c>
      <c r="C12245" s="5" t="s">
        <v>11</v>
      </c>
      <c r="D12245" s="5" t="s">
        <v>12</v>
      </c>
      <c r="E12245" s="5" t="s">
        <v>772</v>
      </c>
    </row>
    <row r="12246" spans="1:5" x14ac:dyDescent="0.25">
      <c r="A12246" s="5">
        <f>12238</f>
      </c>
      <c r="B12246" s="5" t="s">
        <v>11517</v>
      </c>
      <c r="C12246" s="5" t="s">
        <v>11</v>
      </c>
      <c r="D12246" s="5" t="s">
        <v>12</v>
      </c>
      <c r="E12246" s="5" t="s">
        <v>1030</v>
      </c>
    </row>
    <row r="12247" spans="1:5" x14ac:dyDescent="0.25">
      <c r="A12247" s="5">
        <f>12239</f>
      </c>
      <c r="B12247" s="5" t="s">
        <v>11518</v>
      </c>
      <c r="C12247" s="5" t="s">
        <v>11</v>
      </c>
      <c r="D12247" s="5" t="s">
        <v>12</v>
      </c>
      <c r="E12247" s="5" t="s">
        <v>3869</v>
      </c>
    </row>
    <row r="12248" spans="1:5" x14ac:dyDescent="0.25">
      <c r="A12248" s="5">
        <f>12240</f>
      </c>
      <c r="B12248" s="5" t="s">
        <v>11519</v>
      </c>
      <c r="C12248" s="5" t="s">
        <v>11</v>
      </c>
      <c r="D12248" s="5" t="s">
        <v>12</v>
      </c>
      <c r="E12248" s="5" t="s">
        <v>2614</v>
      </c>
    </row>
    <row r="12249" spans="1:5" x14ac:dyDescent="0.25">
      <c r="A12249" s="5">
        <f>12241</f>
      </c>
      <c r="B12249" s="5" t="s">
        <v>11520</v>
      </c>
      <c r="C12249" s="5" t="s">
        <v>11</v>
      </c>
      <c r="D12249" s="5" t="s">
        <v>12</v>
      </c>
      <c r="E12249" s="5" t="s">
        <v>2598</v>
      </c>
    </row>
    <row r="12250" spans="1:5" x14ac:dyDescent="0.25">
      <c r="A12250" s="5">
        <f>12242</f>
      </c>
      <c r="B12250" s="5" t="s">
        <v>11521</v>
      </c>
      <c r="C12250" s="5" t="s">
        <v>11</v>
      </c>
      <c r="D12250" s="5" t="s">
        <v>12</v>
      </c>
      <c r="E12250" s="5" t="s">
        <v>2300</v>
      </c>
    </row>
    <row r="12251" spans="1:5" x14ac:dyDescent="0.25">
      <c r="A12251" s="5">
        <f>12243</f>
      </c>
      <c r="B12251" s="5" t="s">
        <v>11522</v>
      </c>
      <c r="C12251" s="5" t="s">
        <v>11</v>
      </c>
      <c r="D12251" s="5" t="s">
        <v>12</v>
      </c>
      <c r="E12251" s="5" t="s">
        <v>2318</v>
      </c>
    </row>
    <row r="12252" spans="1:5" x14ac:dyDescent="0.25">
      <c r="A12252" s="5">
        <f>12244</f>
      </c>
      <c r="B12252" s="5" t="s">
        <v>11523</v>
      </c>
      <c r="C12252" s="5" t="s">
        <v>11</v>
      </c>
      <c r="D12252" s="5" t="s">
        <v>12</v>
      </c>
      <c r="E12252" s="5" t="s">
        <v>2582</v>
      </c>
    </row>
    <row r="12253" spans="1:5" x14ac:dyDescent="0.25">
      <c r="A12253" s="5">
        <f>12245</f>
      </c>
      <c r="B12253" s="5" t="s">
        <v>11524</v>
      </c>
      <c r="C12253" s="5" t="s">
        <v>11</v>
      </c>
      <c r="D12253" s="5" t="s">
        <v>12</v>
      </c>
      <c r="E12253" s="5" t="s">
        <v>2333</v>
      </c>
    </row>
    <row r="12254" spans="1:5" x14ac:dyDescent="0.25">
      <c r="A12254" s="5">
        <f>12246</f>
      </c>
      <c r="B12254" s="5" t="s">
        <v>11525</v>
      </c>
      <c r="C12254" s="5" t="s">
        <v>11</v>
      </c>
      <c r="D12254" s="5" t="s">
        <v>12</v>
      </c>
      <c r="E12254" s="5" t="s">
        <v>3533</v>
      </c>
    </row>
    <row r="12255" spans="1:5" x14ac:dyDescent="0.25">
      <c r="A12255" s="5">
        <f>12247</f>
      </c>
      <c r="B12255" s="5" t="s">
        <v>11526</v>
      </c>
      <c r="C12255" s="5" t="s">
        <v>11</v>
      </c>
      <c r="D12255" s="5" t="s">
        <v>12</v>
      </c>
      <c r="E12255" s="5" t="s">
        <v>3430</v>
      </c>
    </row>
    <row r="12256" spans="1:5" x14ac:dyDescent="0.25">
      <c r="A12256" s="5">
        <f>12248</f>
      </c>
      <c r="B12256" s="5" t="s">
        <v>11527</v>
      </c>
      <c r="C12256" s="5" t="s">
        <v>11</v>
      </c>
      <c r="D12256" s="5" t="s">
        <v>12</v>
      </c>
      <c r="E12256" s="5" t="s">
        <v>954</v>
      </c>
    </row>
    <row r="12257" spans="1:5" x14ac:dyDescent="0.25">
      <c r="A12257" s="5">
        <f>12249</f>
      </c>
      <c r="B12257" s="5" t="s">
        <v>11528</v>
      </c>
      <c r="C12257" s="5" t="s">
        <v>11</v>
      </c>
      <c r="D12257" s="5" t="s">
        <v>12</v>
      </c>
      <c r="E12257" s="5" t="s">
        <v>2594</v>
      </c>
    </row>
    <row r="12258" spans="1:5" x14ac:dyDescent="0.25">
      <c r="A12258" s="5">
        <f>12250</f>
      </c>
      <c r="B12258" s="5" t="s">
        <v>11529</v>
      </c>
      <c r="C12258" s="5" t="s">
        <v>11</v>
      </c>
      <c r="D12258" s="5" t="s">
        <v>12</v>
      </c>
      <c r="E12258" s="5" t="s">
        <v>9512</v>
      </c>
    </row>
    <row r="12259" spans="1:5" x14ac:dyDescent="0.25">
      <c r="A12259" s="5">
        <f>12251</f>
      </c>
      <c r="B12259" s="5" t="s">
        <v>11530</v>
      </c>
      <c r="C12259" s="5" t="s">
        <v>11</v>
      </c>
      <c r="D12259" s="5" t="s">
        <v>12</v>
      </c>
      <c r="E12259" s="5" t="s">
        <v>11120</v>
      </c>
    </row>
    <row r="12260" spans="1:5" x14ac:dyDescent="0.25">
      <c r="A12260" s="5">
        <f>12252</f>
      </c>
      <c r="B12260" s="5" t="s">
        <v>11531</v>
      </c>
      <c r="C12260" s="5" t="s">
        <v>11</v>
      </c>
      <c r="D12260" s="5" t="s">
        <v>12</v>
      </c>
      <c r="E12260" s="5" t="s">
        <v>2400</v>
      </c>
    </row>
    <row r="12261" spans="1:5" x14ac:dyDescent="0.25">
      <c r="A12261" s="5">
        <f>12253</f>
      </c>
      <c r="B12261" s="5" t="s">
        <v>11532</v>
      </c>
      <c r="C12261" s="5" t="s">
        <v>11</v>
      </c>
      <c r="D12261" s="5" t="s">
        <v>12</v>
      </c>
      <c r="E12261" s="5" t="s">
        <v>3589</v>
      </c>
    </row>
    <row r="12262" spans="1:5" x14ac:dyDescent="0.25">
      <c r="A12262" s="5">
        <f>12254</f>
      </c>
      <c r="B12262" s="5" t="s">
        <v>11533</v>
      </c>
      <c r="C12262" s="5" t="s">
        <v>11</v>
      </c>
      <c r="D12262" s="5" t="s">
        <v>12</v>
      </c>
      <c r="E12262" s="5" t="s">
        <v>945</v>
      </c>
    </row>
    <row r="12263" spans="1:5" x14ac:dyDescent="0.25">
      <c r="A12263" s="5">
        <f>12255</f>
      </c>
      <c r="B12263" s="5" t="s">
        <v>11534</v>
      </c>
      <c r="C12263" s="5" t="s">
        <v>11</v>
      </c>
      <c r="D12263" s="5" t="s">
        <v>12</v>
      </c>
      <c r="E12263" s="5" t="s">
        <v>3932</v>
      </c>
    </row>
    <row r="12264" spans="1:5" x14ac:dyDescent="0.25">
      <c r="A12264" s="5">
        <f>12256</f>
      </c>
      <c r="B12264" s="5" t="s">
        <v>11535</v>
      </c>
      <c r="C12264" s="5" t="s">
        <v>11</v>
      </c>
      <c r="D12264" s="5" t="s">
        <v>12</v>
      </c>
      <c r="E12264" s="5" t="s">
        <v>3626</v>
      </c>
    </row>
    <row r="12265" spans="1:5" x14ac:dyDescent="0.25">
      <c r="A12265" s="5">
        <f>12257</f>
      </c>
      <c r="B12265" s="5" t="s">
        <v>11536</v>
      </c>
      <c r="C12265" s="5" t="s">
        <v>11</v>
      </c>
      <c r="D12265" s="5" t="s">
        <v>12</v>
      </c>
      <c r="E12265" s="5" t="s">
        <v>2844</v>
      </c>
    </row>
    <row r="12266" spans="1:5" x14ac:dyDescent="0.25">
      <c r="A12266" s="5">
        <f>12258</f>
      </c>
      <c r="B12266" s="5" t="s">
        <v>11537</v>
      </c>
      <c r="C12266" s="5" t="s">
        <v>11</v>
      </c>
      <c r="D12266" s="5" t="s">
        <v>12</v>
      </c>
      <c r="E12266" s="5" t="s">
        <v>10680</v>
      </c>
    </row>
    <row r="12267" spans="1:5" x14ac:dyDescent="0.25">
      <c r="A12267" s="5">
        <f>12259</f>
      </c>
      <c r="B12267" s="5" t="s">
        <v>11538</v>
      </c>
      <c r="C12267" s="5" t="s">
        <v>11</v>
      </c>
      <c r="D12267" s="5" t="s">
        <v>12</v>
      </c>
      <c r="E12267" s="5" t="s">
        <v>2594</v>
      </c>
    </row>
    <row r="12268" spans="1:5" x14ac:dyDescent="0.25">
      <c r="A12268" s="5">
        <f>12260</f>
      </c>
      <c r="B12268" s="5" t="s">
        <v>11539</v>
      </c>
      <c r="C12268" s="5" t="s">
        <v>11</v>
      </c>
      <c r="D12268" s="5" t="s">
        <v>12</v>
      </c>
      <c r="E12268" s="5" t="s">
        <v>2407</v>
      </c>
    </row>
    <row r="12269" spans="1:5" x14ac:dyDescent="0.25">
      <c r="A12269" s="5">
        <f>12261</f>
      </c>
      <c r="B12269" s="5" t="s">
        <v>11540</v>
      </c>
      <c r="C12269" s="5" t="s">
        <v>11</v>
      </c>
      <c r="D12269" s="5" t="s">
        <v>12</v>
      </c>
      <c r="E12269" s="5" t="s">
        <v>4039</v>
      </c>
    </row>
    <row r="12270" spans="1:5" x14ac:dyDescent="0.25">
      <c r="A12270" s="5">
        <f>12262</f>
      </c>
      <c r="B12270" s="5" t="s">
        <v>11541</v>
      </c>
      <c r="C12270" s="5" t="s">
        <v>11</v>
      </c>
      <c r="D12270" s="5" t="s">
        <v>12</v>
      </c>
      <c r="E12270" s="5" t="s">
        <v>935</v>
      </c>
    </row>
    <row r="12271" spans="1:5" x14ac:dyDescent="0.25">
      <c r="A12271" s="5">
        <f>12263</f>
      </c>
      <c r="B12271" s="5" t="s">
        <v>11542</v>
      </c>
      <c r="C12271" s="5" t="s">
        <v>11</v>
      </c>
      <c r="D12271" s="5" t="s">
        <v>12</v>
      </c>
      <c r="E12271" s="5" t="s">
        <v>2610</v>
      </c>
    </row>
    <row r="12272" spans="1:5" x14ac:dyDescent="0.25">
      <c r="A12272" s="5">
        <f>12264</f>
      </c>
      <c r="B12272" s="5" t="s">
        <v>11543</v>
      </c>
      <c r="C12272" s="5" t="s">
        <v>11</v>
      </c>
      <c r="D12272" s="5" t="s">
        <v>12</v>
      </c>
      <c r="E12272" s="5" t="s">
        <v>1060</v>
      </c>
    </row>
    <row r="12273" spans="1:5" x14ac:dyDescent="0.25">
      <c r="A12273" s="5">
        <f>12265</f>
      </c>
      <c r="B12273" s="5" t="s">
        <v>11544</v>
      </c>
      <c r="C12273" s="5" t="s">
        <v>11</v>
      </c>
      <c r="D12273" s="5" t="s">
        <v>12</v>
      </c>
      <c r="E12273" s="5" t="s">
        <v>2590</v>
      </c>
    </row>
    <row r="12274" spans="1:5" x14ac:dyDescent="0.25">
      <c r="A12274" s="5">
        <f>12266</f>
      </c>
      <c r="B12274" s="5" t="s">
        <v>11545</v>
      </c>
      <c r="C12274" s="5" t="s">
        <v>11</v>
      </c>
      <c r="D12274" s="5" t="s">
        <v>12</v>
      </c>
      <c r="E12274" s="5" t="s">
        <v>3589</v>
      </c>
    </row>
    <row r="12275" spans="1:5" x14ac:dyDescent="0.25">
      <c r="A12275" s="5">
        <f>12267</f>
      </c>
      <c r="B12275" s="5" t="s">
        <v>11546</v>
      </c>
      <c r="C12275" s="5" t="s">
        <v>11</v>
      </c>
      <c r="D12275" s="5" t="s">
        <v>12</v>
      </c>
      <c r="E12275" s="5" t="s">
        <v>924</v>
      </c>
    </row>
    <row r="12276" spans="1:5" x14ac:dyDescent="0.25">
      <c r="A12276" s="5">
        <f>12268</f>
      </c>
      <c r="B12276" s="5" t="s">
        <v>11547</v>
      </c>
      <c r="C12276" s="5" t="s">
        <v>11</v>
      </c>
      <c r="D12276" s="5" t="s">
        <v>12</v>
      </c>
      <c r="E12276" s="5" t="s">
        <v>9512</v>
      </c>
    </row>
    <row r="12277" spans="1:5" x14ac:dyDescent="0.25">
      <c r="A12277" s="5">
        <f>12269</f>
      </c>
      <c r="B12277" s="5" t="s">
        <v>11548</v>
      </c>
      <c r="C12277" s="5" t="s">
        <v>11</v>
      </c>
      <c r="D12277" s="5" t="s">
        <v>12</v>
      </c>
      <c r="E12277" s="5" t="s">
        <v>3875</v>
      </c>
    </row>
    <row r="12278" spans="1:5" x14ac:dyDescent="0.25">
      <c r="A12278" s="5">
        <f>12270</f>
      </c>
      <c r="B12278" s="5" t="s">
        <v>11549</v>
      </c>
      <c r="C12278" s="5" t="s">
        <v>11</v>
      </c>
      <c r="D12278" s="5" t="s">
        <v>12</v>
      </c>
      <c r="E12278" s="5" t="s">
        <v>3598</v>
      </c>
    </row>
    <row r="12279" spans="1:5" x14ac:dyDescent="0.25">
      <c r="A12279" s="5">
        <f>12271</f>
      </c>
      <c r="B12279" s="5" t="s">
        <v>11550</v>
      </c>
      <c r="C12279" s="5" t="s">
        <v>11</v>
      </c>
      <c r="D12279" s="5" t="s">
        <v>12</v>
      </c>
      <c r="E12279" s="5" t="s">
        <v>3496</v>
      </c>
    </row>
    <row r="12280" spans="1:5" x14ac:dyDescent="0.25">
      <c r="A12280" s="5">
        <f>12272</f>
      </c>
      <c r="B12280" s="5" t="s">
        <v>11551</v>
      </c>
      <c r="C12280" s="5" t="s">
        <v>11</v>
      </c>
      <c r="D12280" s="5" t="s">
        <v>12</v>
      </c>
      <c r="E12280" s="5" t="s">
        <v>2600</v>
      </c>
    </row>
    <row r="12281" spans="1:5" x14ac:dyDescent="0.25">
      <c r="A12281" s="5">
        <f>12273</f>
      </c>
      <c r="B12281" s="5" t="s">
        <v>11552</v>
      </c>
      <c r="C12281" s="5" t="s">
        <v>11</v>
      </c>
      <c r="D12281" s="5" t="s">
        <v>12</v>
      </c>
      <c r="E12281" s="5" t="s">
        <v>2626</v>
      </c>
    </row>
    <row r="12282" spans="1:5" x14ac:dyDescent="0.25">
      <c r="A12282" s="5">
        <f>12274</f>
      </c>
      <c r="B12282" s="5" t="s">
        <v>11553</v>
      </c>
      <c r="C12282" s="5" t="s">
        <v>11</v>
      </c>
      <c r="D12282" s="5" t="s">
        <v>12</v>
      </c>
      <c r="E12282" s="5" t="s">
        <v>728</v>
      </c>
    </row>
    <row r="12283" spans="1:5" x14ac:dyDescent="0.25">
      <c r="A12283" s="5">
        <f>12275</f>
      </c>
      <c r="B12283" s="5" t="s">
        <v>11554</v>
      </c>
      <c r="C12283" s="5" t="s">
        <v>11</v>
      </c>
      <c r="D12283" s="5" t="s">
        <v>12</v>
      </c>
      <c r="E12283" s="5" t="s">
        <v>2333</v>
      </c>
    </row>
    <row r="12284" spans="1:5" x14ac:dyDescent="0.25">
      <c r="A12284" s="5">
        <f>12276</f>
      </c>
      <c r="B12284" s="5" t="s">
        <v>11555</v>
      </c>
      <c r="C12284" s="5" t="s">
        <v>11</v>
      </c>
      <c r="D12284" s="5" t="s">
        <v>12</v>
      </c>
      <c r="E12284" s="5" t="s">
        <v>3506</v>
      </c>
    </row>
    <row r="12285" spans="1:5" x14ac:dyDescent="0.25">
      <c r="A12285" s="5">
        <f>12277</f>
      </c>
      <c r="B12285" s="5" t="s">
        <v>11556</v>
      </c>
      <c r="C12285" s="5" t="s">
        <v>11</v>
      </c>
      <c r="D12285" s="5" t="s">
        <v>12</v>
      </c>
      <c r="E12285" s="5" t="s">
        <v>3955</v>
      </c>
    </row>
    <row r="12286" spans="1:5" x14ac:dyDescent="0.25">
      <c r="A12286" s="5">
        <f>12278</f>
      </c>
      <c r="B12286" s="5" t="s">
        <v>11557</v>
      </c>
      <c r="C12286" s="5" t="s">
        <v>11</v>
      </c>
      <c r="D12286" s="5" t="s">
        <v>12</v>
      </c>
      <c r="E12286" s="5" t="s">
        <v>2259</v>
      </c>
    </row>
    <row r="12287" spans="1:5" x14ac:dyDescent="0.25">
      <c r="A12287" s="5">
        <f>12279</f>
      </c>
      <c r="B12287" s="5" t="s">
        <v>11558</v>
      </c>
      <c r="C12287" s="5" t="s">
        <v>11</v>
      </c>
      <c r="D12287" s="5" t="s">
        <v>12</v>
      </c>
      <c r="E12287" s="5" t="s">
        <v>2398</v>
      </c>
    </row>
    <row r="12288" spans="1:5" x14ac:dyDescent="0.25">
      <c r="A12288" s="5">
        <f>12280</f>
      </c>
      <c r="B12288" s="5" t="s">
        <v>11559</v>
      </c>
      <c r="C12288" s="5" t="s">
        <v>11</v>
      </c>
      <c r="D12288" s="5" t="s">
        <v>12</v>
      </c>
      <c r="E12288" s="5" t="s">
        <v>10660</v>
      </c>
    </row>
    <row r="12289" spans="1:5" x14ac:dyDescent="0.25">
      <c r="A12289" s="5">
        <f>12281</f>
      </c>
      <c r="B12289" s="5" t="s">
        <v>11560</v>
      </c>
      <c r="C12289" s="5" t="s">
        <v>11</v>
      </c>
      <c r="D12289" s="5" t="s">
        <v>12</v>
      </c>
      <c r="E12289" s="5" t="s">
        <v>2590</v>
      </c>
    </row>
    <row r="12290" spans="1:5" x14ac:dyDescent="0.25">
      <c r="A12290" s="5">
        <f>12282</f>
      </c>
      <c r="B12290" s="5" t="s">
        <v>11561</v>
      </c>
      <c r="C12290" s="5" t="s">
        <v>11</v>
      </c>
      <c r="D12290" s="5" t="s">
        <v>12</v>
      </c>
      <c r="E12290" s="5" t="s">
        <v>2338</v>
      </c>
    </row>
    <row r="12291" spans="1:5" x14ac:dyDescent="0.25">
      <c r="A12291" s="5">
        <f>12283</f>
      </c>
      <c r="B12291" s="5" t="s">
        <v>11562</v>
      </c>
      <c r="C12291" s="5" t="s">
        <v>11</v>
      </c>
      <c r="D12291" s="5" t="s">
        <v>12</v>
      </c>
      <c r="E12291" s="5" t="s">
        <v>3621</v>
      </c>
    </row>
    <row r="12292" spans="1:5" x14ac:dyDescent="0.25">
      <c r="A12292" s="5">
        <f>12284</f>
      </c>
      <c r="B12292" s="5" t="s">
        <v>11563</v>
      </c>
      <c r="C12292" s="5" t="s">
        <v>11</v>
      </c>
      <c r="D12292" s="5" t="s">
        <v>12</v>
      </c>
      <c r="E12292" s="5" t="s">
        <v>9521</v>
      </c>
    </row>
    <row r="12293" spans="1:5" x14ac:dyDescent="0.25">
      <c r="A12293" s="5">
        <f>12285</f>
      </c>
      <c r="B12293" s="5" t="s">
        <v>11564</v>
      </c>
      <c r="C12293" s="5" t="s">
        <v>11</v>
      </c>
      <c r="D12293" s="5" t="s">
        <v>12</v>
      </c>
      <c r="E12293" s="5" t="s">
        <v>927</v>
      </c>
    </row>
    <row r="12294" spans="1:5" x14ac:dyDescent="0.25">
      <c r="A12294" s="5">
        <f>12286</f>
      </c>
      <c r="B12294" s="5" t="s">
        <v>11565</v>
      </c>
      <c r="C12294" s="5" t="s">
        <v>11</v>
      </c>
      <c r="D12294" s="5" t="s">
        <v>12</v>
      </c>
      <c r="E12294" s="5" t="s">
        <v>3922</v>
      </c>
    </row>
    <row r="12295" spans="1:5" x14ac:dyDescent="0.25">
      <c r="A12295" s="5">
        <f>12287</f>
      </c>
      <c r="B12295" s="5" t="s">
        <v>11566</v>
      </c>
      <c r="C12295" s="5" t="s">
        <v>11</v>
      </c>
      <c r="D12295" s="5" t="s">
        <v>12</v>
      </c>
      <c r="E12295" s="5" t="s">
        <v>3924</v>
      </c>
    </row>
    <row r="12296" spans="1:5" x14ac:dyDescent="0.25">
      <c r="A12296" s="5">
        <f>12288</f>
      </c>
      <c r="B12296" s="5" t="s">
        <v>11567</v>
      </c>
      <c r="C12296" s="5" t="s">
        <v>11</v>
      </c>
      <c r="D12296" s="5" t="s">
        <v>12</v>
      </c>
      <c r="E12296" s="5" t="s">
        <v>11362</v>
      </c>
    </row>
    <row r="12297" spans="1:5" x14ac:dyDescent="0.25">
      <c r="A12297" s="5">
        <f>12289</f>
      </c>
      <c r="B12297" s="5" t="s">
        <v>11568</v>
      </c>
      <c r="C12297" s="5" t="s">
        <v>11</v>
      </c>
      <c r="D12297" s="5" t="s">
        <v>12</v>
      </c>
      <c r="E12297" s="5" t="s">
        <v>3608</v>
      </c>
    </row>
    <row r="12298" spans="1:5" x14ac:dyDescent="0.25">
      <c r="A12298" s="5">
        <f>12290</f>
      </c>
      <c r="B12298" s="5" t="s">
        <v>11569</v>
      </c>
      <c r="C12298" s="5" t="s">
        <v>11</v>
      </c>
      <c r="D12298" s="5" t="s">
        <v>12</v>
      </c>
      <c r="E12298" s="5" t="s">
        <v>3378</v>
      </c>
    </row>
    <row r="12299" spans="1:5" x14ac:dyDescent="0.25">
      <c r="A12299" s="5">
        <f>12291</f>
      </c>
      <c r="B12299" s="5" t="s">
        <v>11570</v>
      </c>
      <c r="C12299" s="5" t="s">
        <v>11</v>
      </c>
      <c r="D12299" s="5" t="s">
        <v>12</v>
      </c>
      <c r="E12299" s="5" t="s">
        <v>2343</v>
      </c>
    </row>
    <row r="12300" spans="1:5" x14ac:dyDescent="0.25">
      <c r="A12300" s="5">
        <f>12292</f>
      </c>
      <c r="B12300" s="5" t="s">
        <v>11571</v>
      </c>
      <c r="C12300" s="5" t="s">
        <v>11</v>
      </c>
      <c r="D12300" s="5" t="s">
        <v>12</v>
      </c>
      <c r="E12300" s="5" t="s">
        <v>4039</v>
      </c>
    </row>
    <row r="12301" spans="1:5" x14ac:dyDescent="0.25">
      <c r="A12301" s="5">
        <f>12293</f>
      </c>
      <c r="B12301" s="5" t="s">
        <v>11572</v>
      </c>
      <c r="C12301" s="5" t="s">
        <v>11</v>
      </c>
      <c r="D12301" s="5" t="s">
        <v>12</v>
      </c>
      <c r="E12301" s="5" t="s">
        <v>10618</v>
      </c>
    </row>
    <row r="12302" spans="1:5" x14ac:dyDescent="0.25">
      <c r="A12302" s="5">
        <f>12294</f>
      </c>
      <c r="B12302" s="5" t="s">
        <v>11573</v>
      </c>
      <c r="C12302" s="5" t="s">
        <v>11</v>
      </c>
      <c r="D12302" s="5" t="s">
        <v>12</v>
      </c>
      <c r="E12302" s="5" t="s">
        <v>924</v>
      </c>
    </row>
    <row r="12303" spans="1:5" x14ac:dyDescent="0.25">
      <c r="A12303" s="5">
        <f>12295</f>
      </c>
      <c r="B12303" s="5" t="s">
        <v>11574</v>
      </c>
      <c r="C12303" s="5" t="s">
        <v>11</v>
      </c>
      <c r="D12303" s="5" t="s">
        <v>12</v>
      </c>
      <c r="E12303" s="5" t="s">
        <v>736</v>
      </c>
    </row>
    <row r="12304" spans="1:5" x14ac:dyDescent="0.25">
      <c r="A12304" s="5">
        <f>12296</f>
      </c>
      <c r="B12304" s="5" t="s">
        <v>11575</v>
      </c>
      <c r="C12304" s="5" t="s">
        <v>11</v>
      </c>
      <c r="D12304" s="5" t="s">
        <v>12</v>
      </c>
      <c r="E12304" s="5" t="s">
        <v>2381</v>
      </c>
    </row>
    <row r="12305" spans="1:5" x14ac:dyDescent="0.25">
      <c r="A12305" s="5">
        <f>12297</f>
      </c>
      <c r="B12305" s="5" t="s">
        <v>11576</v>
      </c>
      <c r="C12305" s="5" t="s">
        <v>11</v>
      </c>
      <c r="D12305" s="5" t="s">
        <v>12</v>
      </c>
      <c r="E12305" s="5" t="s">
        <v>823</v>
      </c>
    </row>
    <row r="12306" spans="1:5" x14ac:dyDescent="0.25">
      <c r="A12306" s="5">
        <f>12298</f>
      </c>
      <c r="B12306" s="5" t="s">
        <v>11577</v>
      </c>
      <c r="C12306" s="5" t="s">
        <v>11</v>
      </c>
      <c r="D12306" s="5" t="s">
        <v>12</v>
      </c>
      <c r="E12306" s="5" t="s">
        <v>1040</v>
      </c>
    </row>
    <row r="12307" spans="1:5" x14ac:dyDescent="0.25">
      <c r="A12307" s="5">
        <f>12299</f>
      </c>
      <c r="B12307" s="5" t="s">
        <v>11578</v>
      </c>
      <c r="C12307" s="5" t="s">
        <v>11</v>
      </c>
      <c r="D12307" s="5" t="s">
        <v>12</v>
      </c>
      <c r="E12307" s="5" t="s">
        <v>2610</v>
      </c>
    </row>
    <row r="12308" spans="1:5" x14ac:dyDescent="0.25">
      <c r="A12308" s="5">
        <f>12300</f>
      </c>
      <c r="B12308" s="5" t="s">
        <v>11579</v>
      </c>
      <c r="C12308" s="5" t="s">
        <v>11</v>
      </c>
      <c r="D12308" s="5" t="s">
        <v>12</v>
      </c>
      <c r="E12308" s="5" t="s">
        <v>2614</v>
      </c>
    </row>
    <row r="12309" spans="1:5" x14ac:dyDescent="0.25">
      <c r="A12309" s="5">
        <f>12301</f>
      </c>
      <c r="B12309" s="5" t="s">
        <v>11580</v>
      </c>
      <c r="C12309" s="5" t="s">
        <v>11</v>
      </c>
      <c r="D12309" s="5" t="s">
        <v>12</v>
      </c>
      <c r="E12309" s="5" t="s">
        <v>3891</v>
      </c>
    </row>
    <row r="12310" spans="1:5" x14ac:dyDescent="0.25">
      <c r="A12310" s="5">
        <f>12302</f>
      </c>
      <c r="B12310" s="5" t="s">
        <v>11581</v>
      </c>
      <c r="C12310" s="5" t="s">
        <v>11</v>
      </c>
      <c r="D12310" s="5" t="s">
        <v>12</v>
      </c>
      <c r="E12310" s="5" t="s">
        <v>999</v>
      </c>
    </row>
    <row r="12311" spans="1:5" x14ac:dyDescent="0.25">
      <c r="A12311" s="5">
        <f>12303</f>
      </c>
      <c r="B12311" s="5" t="s">
        <v>11582</v>
      </c>
      <c r="C12311" s="5" t="s">
        <v>11</v>
      </c>
      <c r="D12311" s="5" t="s">
        <v>12</v>
      </c>
      <c r="E12311" s="5" t="s">
        <v>4048</v>
      </c>
    </row>
    <row r="12312" spans="1:5" x14ac:dyDescent="0.25">
      <c r="A12312" s="5">
        <f>12304</f>
      </c>
      <c r="B12312" s="5" t="s">
        <v>11583</v>
      </c>
      <c r="C12312" s="5" t="s">
        <v>11</v>
      </c>
      <c r="D12312" s="5" t="s">
        <v>12</v>
      </c>
      <c r="E12312" s="5" t="s">
        <v>826</v>
      </c>
    </row>
    <row r="12313" spans="1:5" x14ac:dyDescent="0.25">
      <c r="A12313" s="5">
        <f>12305</f>
      </c>
      <c r="B12313" s="5" t="s">
        <v>11584</v>
      </c>
      <c r="C12313" s="5" t="s">
        <v>11</v>
      </c>
      <c r="D12313" s="5" t="s">
        <v>12</v>
      </c>
      <c r="E12313" s="5" t="s">
        <v>2616</v>
      </c>
    </row>
    <row r="12314" spans="1:5" x14ac:dyDescent="0.25">
      <c r="A12314" s="5">
        <f>12306</f>
      </c>
      <c r="B12314" s="5" t="s">
        <v>11585</v>
      </c>
      <c r="C12314" s="5" t="s">
        <v>11</v>
      </c>
      <c r="D12314" s="5" t="s">
        <v>12</v>
      </c>
      <c r="E12314" s="5" t="s">
        <v>2257</v>
      </c>
    </row>
    <row r="12315" spans="1:5" x14ac:dyDescent="0.25">
      <c r="A12315" s="5">
        <f>12307</f>
      </c>
      <c r="B12315" s="5" t="s">
        <v>11586</v>
      </c>
      <c r="C12315" s="5" t="s">
        <v>11</v>
      </c>
      <c r="D12315" s="5" t="s">
        <v>12</v>
      </c>
      <c r="E12315" s="5" t="s">
        <v>10580</v>
      </c>
    </row>
    <row r="12316" spans="1:5" x14ac:dyDescent="0.25">
      <c r="A12316" s="5">
        <f>12308</f>
      </c>
      <c r="B12316" s="5" t="s">
        <v>11587</v>
      </c>
      <c r="C12316" s="5" t="s">
        <v>11</v>
      </c>
      <c r="D12316" s="5" t="s">
        <v>12</v>
      </c>
      <c r="E12316" s="5" t="s">
        <v>2598</v>
      </c>
    </row>
    <row r="12317" spans="1:5" x14ac:dyDescent="0.25">
      <c r="A12317" s="5">
        <f>12309</f>
      </c>
      <c r="B12317" s="5" t="s">
        <v>11588</v>
      </c>
      <c r="C12317" s="5" t="s">
        <v>11</v>
      </c>
      <c r="D12317" s="5" t="s">
        <v>12</v>
      </c>
      <c r="E12317" s="5" t="s">
        <v>999</v>
      </c>
    </row>
    <row r="12318" spans="1:5" x14ac:dyDescent="0.25">
      <c r="A12318" s="5">
        <f>12310</f>
      </c>
      <c r="B12318" s="5" t="s">
        <v>11589</v>
      </c>
      <c r="C12318" s="5" t="s">
        <v>11</v>
      </c>
      <c r="D12318" s="5" t="s">
        <v>12</v>
      </c>
      <c r="E12318" s="5" t="s">
        <v>2596</v>
      </c>
    </row>
    <row r="12319" spans="1:5" x14ac:dyDescent="0.25">
      <c r="A12319" s="5">
        <f>12311</f>
      </c>
      <c r="B12319" s="5" t="s">
        <v>11590</v>
      </c>
      <c r="C12319" s="5" t="s">
        <v>11</v>
      </c>
      <c r="D12319" s="5" t="s">
        <v>12</v>
      </c>
      <c r="E12319" s="5" t="s">
        <v>1051</v>
      </c>
    </row>
    <row r="12320" spans="1:5" x14ac:dyDescent="0.25">
      <c r="A12320" s="5">
        <f>12312</f>
      </c>
      <c r="B12320" s="5" t="s">
        <v>11591</v>
      </c>
      <c r="C12320" s="5" t="s">
        <v>11</v>
      </c>
      <c r="D12320" s="5" t="s">
        <v>12</v>
      </c>
      <c r="E12320" s="5" t="s">
        <v>3583</v>
      </c>
    </row>
    <row r="12321" spans="1:5" x14ac:dyDescent="0.25">
      <c r="A12321" s="5">
        <f>12313</f>
      </c>
      <c r="B12321" s="5" t="s">
        <v>11592</v>
      </c>
      <c r="C12321" s="5" t="s">
        <v>11</v>
      </c>
      <c r="D12321" s="5" t="s">
        <v>12</v>
      </c>
      <c r="E12321" s="5" t="s">
        <v>762</v>
      </c>
    </row>
    <row r="12322" spans="1:5" x14ac:dyDescent="0.25">
      <c r="A12322" s="5">
        <f>12314</f>
      </c>
      <c r="B12322" s="5" t="s">
        <v>11593</v>
      </c>
      <c r="C12322" s="5" t="s">
        <v>11</v>
      </c>
      <c r="D12322" s="5" t="s">
        <v>12</v>
      </c>
      <c r="E12322" s="5" t="s">
        <v>3536</v>
      </c>
    </row>
    <row r="12323" spans="1:5" x14ac:dyDescent="0.25">
      <c r="A12323" s="5">
        <f>12315</f>
      </c>
      <c r="B12323" s="5" t="s">
        <v>11594</v>
      </c>
      <c r="C12323" s="5" t="s">
        <v>11</v>
      </c>
      <c r="D12323" s="5" t="s">
        <v>12</v>
      </c>
      <c r="E12323" s="5" t="s">
        <v>3601</v>
      </c>
    </row>
    <row r="12324" spans="1:5" x14ac:dyDescent="0.25">
      <c r="A12324" s="5">
        <f>12316</f>
      </c>
      <c r="B12324" s="5" t="s">
        <v>11595</v>
      </c>
      <c r="C12324" s="5" t="s">
        <v>11</v>
      </c>
      <c r="D12324" s="5" t="s">
        <v>12</v>
      </c>
      <c r="E12324" s="5" t="s">
        <v>775</v>
      </c>
    </row>
    <row r="12325" spans="1:5" x14ac:dyDescent="0.25">
      <c r="A12325" s="5">
        <f>12317</f>
      </c>
      <c r="B12325" s="5" t="s">
        <v>11596</v>
      </c>
      <c r="C12325" s="5" t="s">
        <v>11</v>
      </c>
      <c r="D12325" s="5" t="s">
        <v>12</v>
      </c>
      <c r="E12325" s="5" t="s">
        <v>3621</v>
      </c>
    </row>
    <row r="12326" spans="1:5" x14ac:dyDescent="0.25">
      <c r="A12326" s="5">
        <f>12318</f>
      </c>
      <c r="B12326" s="5" t="s">
        <v>11597</v>
      </c>
      <c r="C12326" s="5" t="s">
        <v>11</v>
      </c>
      <c r="D12326" s="5" t="s">
        <v>12</v>
      </c>
      <c r="E12326" s="5" t="s">
        <v>954</v>
      </c>
    </row>
    <row r="12327" spans="1:5" x14ac:dyDescent="0.25">
      <c r="A12327" s="5">
        <f>12319</f>
      </c>
      <c r="B12327" s="5" t="s">
        <v>11598</v>
      </c>
      <c r="C12327" s="5" t="s">
        <v>11</v>
      </c>
      <c r="D12327" s="5" t="s">
        <v>12</v>
      </c>
      <c r="E12327" s="5" t="s">
        <v>10549</v>
      </c>
    </row>
    <row r="12328" spans="1:5" x14ac:dyDescent="0.25">
      <c r="A12328" s="5">
        <f>12320</f>
      </c>
      <c r="B12328" s="5" t="s">
        <v>11599</v>
      </c>
      <c r="C12328" s="5" t="s">
        <v>11</v>
      </c>
      <c r="D12328" s="5" t="s">
        <v>12</v>
      </c>
      <c r="E12328" s="5" t="s">
        <v>4048</v>
      </c>
    </row>
    <row r="12329" spans="1:5" x14ac:dyDescent="0.25">
      <c r="A12329" s="5">
        <f>12321</f>
      </c>
      <c r="B12329" s="5" t="s">
        <v>11600</v>
      </c>
      <c r="C12329" s="5" t="s">
        <v>11</v>
      </c>
      <c r="D12329" s="5" t="s">
        <v>12</v>
      </c>
      <c r="E12329" s="5" t="s">
        <v>3891</v>
      </c>
    </row>
    <row r="12330" spans="1:5" x14ac:dyDescent="0.25">
      <c r="A12330" s="5">
        <f>12322</f>
      </c>
      <c r="B12330" s="5" t="s">
        <v>11601</v>
      </c>
      <c r="C12330" s="5" t="s">
        <v>11</v>
      </c>
      <c r="D12330" s="5" t="s">
        <v>12</v>
      </c>
      <c r="E12330" s="5" t="s">
        <v>4132</v>
      </c>
    </row>
    <row r="12331" spans="1:5" x14ac:dyDescent="0.25">
      <c r="A12331" s="5">
        <f>12323</f>
      </c>
      <c r="B12331" s="5" t="s">
        <v>11602</v>
      </c>
      <c r="C12331" s="5" t="s">
        <v>11</v>
      </c>
      <c r="D12331" s="5" t="s">
        <v>12</v>
      </c>
      <c r="E12331" s="5" t="s">
        <v>3493</v>
      </c>
    </row>
    <row r="12332" spans="1:5" x14ac:dyDescent="0.25">
      <c r="A12332" s="5">
        <f>12324</f>
      </c>
      <c r="B12332" s="5" t="s">
        <v>11603</v>
      </c>
      <c r="C12332" s="5" t="s">
        <v>11</v>
      </c>
      <c r="D12332" s="5" t="s">
        <v>12</v>
      </c>
      <c r="E12332" s="5" t="s">
        <v>3493</v>
      </c>
    </row>
    <row r="12333" spans="1:5" x14ac:dyDescent="0.25">
      <c r="A12333" s="5">
        <f>12325</f>
      </c>
      <c r="B12333" s="5" t="s">
        <v>11604</v>
      </c>
      <c r="C12333" s="5" t="s">
        <v>11</v>
      </c>
      <c r="D12333" s="5" t="s">
        <v>12</v>
      </c>
      <c r="E12333" s="5" t="s">
        <v>2665</v>
      </c>
    </row>
    <row r="12334" spans="1:5" x14ac:dyDescent="0.25">
      <c r="A12334" s="5">
        <f>12326</f>
      </c>
      <c r="B12334" s="5" t="s">
        <v>11605</v>
      </c>
      <c r="C12334" s="5" t="s">
        <v>11</v>
      </c>
      <c r="D12334" s="5" t="s">
        <v>12</v>
      </c>
      <c r="E12334" s="5" t="s">
        <v>1022</v>
      </c>
    </row>
    <row r="12335" spans="1:5" x14ac:dyDescent="0.25">
      <c r="A12335" s="5">
        <f>12327</f>
      </c>
      <c r="B12335" s="5" t="s">
        <v>11606</v>
      </c>
      <c r="C12335" s="5" t="s">
        <v>11</v>
      </c>
      <c r="D12335" s="5" t="s">
        <v>12</v>
      </c>
      <c r="E12335" s="5" t="s">
        <v>3536</v>
      </c>
    </row>
    <row r="12336" spans="1:5" x14ac:dyDescent="0.25">
      <c r="A12336" s="5">
        <f>12328</f>
      </c>
      <c r="B12336" s="5" t="s">
        <v>11607</v>
      </c>
      <c r="C12336" s="5" t="s">
        <v>11</v>
      </c>
      <c r="D12336" s="5" t="s">
        <v>12</v>
      </c>
      <c r="E12336" s="5" t="s">
        <v>2881</v>
      </c>
    </row>
    <row r="12337" spans="1:5" x14ac:dyDescent="0.25">
      <c r="A12337" s="5">
        <f>12329</f>
      </c>
      <c r="B12337" s="5" t="s">
        <v>11608</v>
      </c>
      <c r="C12337" s="5" t="s">
        <v>11</v>
      </c>
      <c r="D12337" s="5" t="s">
        <v>12</v>
      </c>
      <c r="E12337" s="5" t="s">
        <v>2409</v>
      </c>
    </row>
    <row r="12338" spans="1:5" x14ac:dyDescent="0.25">
      <c r="A12338" s="5">
        <f>12330</f>
      </c>
      <c r="B12338" s="5" t="s">
        <v>11609</v>
      </c>
      <c r="C12338" s="5" t="s">
        <v>11</v>
      </c>
      <c r="D12338" s="5" t="s">
        <v>12</v>
      </c>
      <c r="E12338" s="5" t="s">
        <v>932</v>
      </c>
    </row>
    <row r="12339" spans="1:5" x14ac:dyDescent="0.25">
      <c r="A12339" s="5">
        <f>12331</f>
      </c>
      <c r="B12339" s="5" t="s">
        <v>11610</v>
      </c>
      <c r="C12339" s="5" t="s">
        <v>11</v>
      </c>
      <c r="D12339" s="5" t="s">
        <v>12</v>
      </c>
      <c r="E12339" s="5" t="s">
        <v>932</v>
      </c>
    </row>
    <row r="12340" spans="1:5" x14ac:dyDescent="0.25">
      <c r="A12340" s="5">
        <f>12332</f>
      </c>
      <c r="B12340" s="5" t="s">
        <v>11611</v>
      </c>
      <c r="C12340" s="5" t="s">
        <v>11</v>
      </c>
      <c r="D12340" s="5" t="s">
        <v>12</v>
      </c>
      <c r="E12340" s="5" t="s">
        <v>3571</v>
      </c>
    </row>
    <row r="12341" spans="1:5" x14ac:dyDescent="0.25">
      <c r="A12341" s="5">
        <f>12333</f>
      </c>
      <c r="B12341" s="5" t="s">
        <v>11612</v>
      </c>
      <c r="C12341" s="5" t="s">
        <v>11</v>
      </c>
      <c r="D12341" s="5" t="s">
        <v>12</v>
      </c>
      <c r="E12341" s="5" t="s">
        <v>2816</v>
      </c>
    </row>
    <row r="12342" spans="1:5" x14ac:dyDescent="0.25">
      <c r="A12342" s="5">
        <f>12334</f>
      </c>
      <c r="B12342" s="5" t="s">
        <v>11613</v>
      </c>
      <c r="C12342" s="5" t="s">
        <v>11</v>
      </c>
      <c r="D12342" s="5" t="s">
        <v>12</v>
      </c>
      <c r="E12342" s="5" t="s">
        <v>2816</v>
      </c>
    </row>
    <row r="12343" spans="1:5" x14ac:dyDescent="0.25">
      <c r="A12343" s="5">
        <f>12335</f>
      </c>
      <c r="B12343" s="5" t="s">
        <v>11614</v>
      </c>
      <c r="C12343" s="5" t="s">
        <v>11</v>
      </c>
      <c r="D12343" s="5" t="s">
        <v>12</v>
      </c>
      <c r="E12343" s="5" t="s">
        <v>2816</v>
      </c>
    </row>
    <row r="12344" spans="1:5" x14ac:dyDescent="0.25">
      <c r="A12344" s="5">
        <f>12336</f>
      </c>
      <c r="B12344" s="5" t="s">
        <v>11615</v>
      </c>
      <c r="C12344" s="5" t="s">
        <v>11</v>
      </c>
      <c r="D12344" s="5" t="s">
        <v>12</v>
      </c>
      <c r="E12344" s="5" t="s">
        <v>2816</v>
      </c>
    </row>
    <row r="12345" spans="1:5" x14ac:dyDescent="0.25">
      <c r="A12345" s="5">
        <f>12337</f>
      </c>
      <c r="B12345" s="5" t="s">
        <v>11616</v>
      </c>
      <c r="C12345" s="5" t="s">
        <v>11</v>
      </c>
      <c r="D12345" s="5" t="s">
        <v>12</v>
      </c>
      <c r="E12345" s="5" t="s">
        <v>2331</v>
      </c>
    </row>
    <row r="12346" spans="1:5" x14ac:dyDescent="0.25">
      <c r="A12346" s="5">
        <f>12338</f>
      </c>
      <c r="B12346" s="5" t="s">
        <v>11617</v>
      </c>
      <c r="C12346" s="5" t="s">
        <v>11</v>
      </c>
      <c r="D12346" s="5" t="s">
        <v>12</v>
      </c>
      <c r="E12346" s="5" t="s">
        <v>3924</v>
      </c>
    </row>
    <row r="12347" spans="1:5" x14ac:dyDescent="0.25">
      <c r="A12347" s="5">
        <f>12339</f>
      </c>
      <c r="B12347" s="5" t="s">
        <v>11618</v>
      </c>
      <c r="C12347" s="5" t="s">
        <v>11</v>
      </c>
      <c r="D12347" s="5" t="s">
        <v>12</v>
      </c>
      <c r="E12347" s="5" t="s">
        <v>4156</v>
      </c>
    </row>
    <row r="12348" spans="1:5" x14ac:dyDescent="0.25">
      <c r="A12348" s="5">
        <f>12340</f>
      </c>
      <c r="B12348" s="5" t="s">
        <v>11619</v>
      </c>
      <c r="C12348" s="5" t="s">
        <v>11</v>
      </c>
      <c r="D12348" s="5" t="s">
        <v>12</v>
      </c>
      <c r="E12348" s="5" t="s">
        <v>2333</v>
      </c>
    </row>
    <row r="12349" spans="1:5" x14ac:dyDescent="0.25">
      <c r="A12349" s="5">
        <f>12341</f>
      </c>
      <c r="B12349" s="5" t="s">
        <v>11620</v>
      </c>
      <c r="C12349" s="5" t="s">
        <v>11</v>
      </c>
      <c r="D12349" s="5" t="s">
        <v>12</v>
      </c>
      <c r="E12349" s="5" t="s">
        <v>3382</v>
      </c>
    </row>
    <row r="12350" spans="1:5" x14ac:dyDescent="0.25">
      <c r="A12350" s="5">
        <f>12342</f>
      </c>
      <c r="B12350" s="5" t="s">
        <v>11621</v>
      </c>
      <c r="C12350" s="5" t="s">
        <v>11</v>
      </c>
      <c r="D12350" s="5" t="s">
        <v>12</v>
      </c>
      <c r="E12350" s="5" t="s">
        <v>846</v>
      </c>
    </row>
    <row r="12351" spans="1:5" x14ac:dyDescent="0.25">
      <c r="A12351" s="5">
        <f>12343</f>
      </c>
      <c r="B12351" s="5" t="s">
        <v>11622</v>
      </c>
      <c r="C12351" s="5" t="s">
        <v>11</v>
      </c>
      <c r="D12351" s="5" t="s">
        <v>12</v>
      </c>
      <c r="E12351" s="5" t="s">
        <v>9521</v>
      </c>
    </row>
    <row r="12352" spans="1:5" x14ac:dyDescent="0.25">
      <c r="A12352" s="5">
        <f>12344</f>
      </c>
      <c r="B12352" s="5" t="s">
        <v>11623</v>
      </c>
      <c r="C12352" s="5" t="s">
        <v>11</v>
      </c>
      <c r="D12352" s="5" t="s">
        <v>12</v>
      </c>
      <c r="E12352" s="5" t="s">
        <v>9521</v>
      </c>
    </row>
    <row r="12353" spans="1:5" x14ac:dyDescent="0.25">
      <c r="A12353" s="5">
        <f>12345</f>
      </c>
      <c r="B12353" s="5" t="s">
        <v>11624</v>
      </c>
      <c r="C12353" s="5" t="s">
        <v>11</v>
      </c>
      <c r="D12353" s="5" t="s">
        <v>12</v>
      </c>
      <c r="E12353" s="5" t="s">
        <v>10618</v>
      </c>
    </row>
    <row r="12354" spans="1:5" x14ac:dyDescent="0.25">
      <c r="A12354" s="5">
        <f>12346</f>
      </c>
      <c r="B12354" s="5" t="s">
        <v>11625</v>
      </c>
      <c r="C12354" s="5" t="s">
        <v>11</v>
      </c>
      <c r="D12354" s="5" t="s">
        <v>12</v>
      </c>
      <c r="E12354" s="5" t="s">
        <v>1056</v>
      </c>
    </row>
    <row r="12355" spans="1:5" x14ac:dyDescent="0.25">
      <c r="A12355" s="5">
        <f>12347</f>
      </c>
      <c r="B12355" s="5" t="s">
        <v>11626</v>
      </c>
      <c r="C12355" s="5" t="s">
        <v>11</v>
      </c>
      <c r="D12355" s="5" t="s">
        <v>12</v>
      </c>
      <c r="E12355" s="5" t="s">
        <v>882</v>
      </c>
    </row>
    <row r="12356" spans="1:5" x14ac:dyDescent="0.25">
      <c r="A12356" s="5">
        <f>12348</f>
      </c>
      <c r="B12356" s="5" t="s">
        <v>11627</v>
      </c>
      <c r="C12356" s="5" t="s">
        <v>11</v>
      </c>
      <c r="D12356" s="5" t="s">
        <v>12</v>
      </c>
      <c r="E12356" s="5" t="s">
        <v>932</v>
      </c>
    </row>
    <row r="12357" spans="1:5" x14ac:dyDescent="0.25">
      <c r="A12357" s="5">
        <f>12349</f>
      </c>
      <c r="B12357" s="5" t="s">
        <v>11628</v>
      </c>
      <c r="C12357" s="5" t="s">
        <v>11</v>
      </c>
      <c r="D12357" s="5" t="s">
        <v>12</v>
      </c>
      <c r="E12357" s="5" t="s">
        <v>932</v>
      </c>
    </row>
    <row r="12358" spans="1:5" x14ac:dyDescent="0.25">
      <c r="A12358" s="5">
        <f>12350</f>
      </c>
      <c r="B12358" s="5" t="s">
        <v>11629</v>
      </c>
      <c r="C12358" s="5" t="s">
        <v>11</v>
      </c>
      <c r="D12358" s="5" t="s">
        <v>12</v>
      </c>
      <c r="E12358" s="5" t="s">
        <v>4048</v>
      </c>
    </row>
    <row r="12359" spans="1:5" x14ac:dyDescent="0.25">
      <c r="A12359" s="5">
        <f>12351</f>
      </c>
      <c r="B12359" s="5" t="s">
        <v>11630</v>
      </c>
      <c r="C12359" s="5" t="s">
        <v>11</v>
      </c>
      <c r="D12359" s="5" t="s">
        <v>12</v>
      </c>
      <c r="E12359" s="5" t="s">
        <v>11475</v>
      </c>
    </row>
    <row r="12360" spans="1:5" x14ac:dyDescent="0.25">
      <c r="A12360" s="5">
        <f>12352</f>
      </c>
      <c r="B12360" s="5" t="s">
        <v>11631</v>
      </c>
      <c r="C12360" s="5" t="s">
        <v>11</v>
      </c>
      <c r="D12360" s="5" t="s">
        <v>12</v>
      </c>
      <c r="E12360" s="5" t="s">
        <v>1067</v>
      </c>
    </row>
    <row r="12361" spans="1:5" x14ac:dyDescent="0.25">
      <c r="A12361" s="5">
        <f>12353</f>
      </c>
      <c r="B12361" s="5" t="s">
        <v>11632</v>
      </c>
      <c r="C12361" s="5" t="s">
        <v>11</v>
      </c>
      <c r="D12361" s="5" t="s">
        <v>12</v>
      </c>
      <c r="E12361" s="5" t="s">
        <v>2262</v>
      </c>
    </row>
    <row r="12362" spans="1:5" x14ac:dyDescent="0.25">
      <c r="A12362" s="5">
        <f>12354</f>
      </c>
      <c r="B12362" s="5" t="s">
        <v>11633</v>
      </c>
      <c r="C12362" s="5" t="s">
        <v>11</v>
      </c>
      <c r="D12362" s="5" t="s">
        <v>12</v>
      </c>
      <c r="E12362" s="5" t="s">
        <v>3490</v>
      </c>
    </row>
    <row r="12363" spans="1:5" x14ac:dyDescent="0.25">
      <c r="A12363" s="5">
        <f>12355</f>
      </c>
      <c r="B12363" s="5" t="s">
        <v>11634</v>
      </c>
      <c r="C12363" s="5" t="s">
        <v>11</v>
      </c>
      <c r="D12363" s="5" t="s">
        <v>12</v>
      </c>
      <c r="E12363" s="5" t="s">
        <v>3765</v>
      </c>
    </row>
    <row r="12364" spans="1:5" x14ac:dyDescent="0.25">
      <c r="A12364" s="5">
        <f>12356</f>
      </c>
      <c r="B12364" s="5" t="s">
        <v>11635</v>
      </c>
      <c r="C12364" s="5" t="s">
        <v>11</v>
      </c>
      <c r="D12364" s="5" t="s">
        <v>12</v>
      </c>
      <c r="E12364" s="5" t="s">
        <v>2247</v>
      </c>
    </row>
    <row r="12365" spans="1:5" x14ac:dyDescent="0.25">
      <c r="A12365" s="5">
        <f>12357</f>
      </c>
      <c r="B12365" s="5" t="s">
        <v>11636</v>
      </c>
      <c r="C12365" s="5" t="s">
        <v>11</v>
      </c>
      <c r="D12365" s="5" t="s">
        <v>12</v>
      </c>
      <c r="E12365" s="5" t="s">
        <v>10574</v>
      </c>
    </row>
    <row r="12366" spans="1:5" x14ac:dyDescent="0.25">
      <c r="A12366" s="5">
        <f>12358</f>
      </c>
      <c r="B12366" s="5" t="s">
        <v>11637</v>
      </c>
      <c r="C12366" s="5" t="s">
        <v>11</v>
      </c>
      <c r="D12366" s="5" t="s">
        <v>12</v>
      </c>
      <c r="E12366" s="5" t="s">
        <v>718</v>
      </c>
    </row>
    <row r="12367" spans="1:5" x14ac:dyDescent="0.25">
      <c r="A12367" s="5">
        <f>12359</f>
      </c>
      <c r="B12367" s="5" t="s">
        <v>11638</v>
      </c>
      <c r="C12367" s="5" t="s">
        <v>11</v>
      </c>
      <c r="D12367" s="5" t="s">
        <v>12</v>
      </c>
      <c r="E12367" s="5" t="s">
        <v>3530</v>
      </c>
    </row>
    <row r="12368" spans="1:5" x14ac:dyDescent="0.25">
      <c r="A12368" s="5">
        <f>12360</f>
      </c>
      <c r="B12368" s="5" t="s">
        <v>11639</v>
      </c>
      <c r="C12368" s="5" t="s">
        <v>11</v>
      </c>
      <c r="D12368" s="5" t="s">
        <v>12</v>
      </c>
      <c r="E12368" s="5" t="s">
        <v>969</v>
      </c>
    </row>
    <row r="12369" spans="1:5" x14ac:dyDescent="0.25">
      <c r="A12369" s="5">
        <f>12361</f>
      </c>
      <c r="B12369" s="5" t="s">
        <v>11640</v>
      </c>
      <c r="C12369" s="5" t="s">
        <v>11</v>
      </c>
      <c r="D12369" s="5" t="s">
        <v>12</v>
      </c>
      <c r="E12369" s="5" t="s">
        <v>10680</v>
      </c>
    </row>
    <row r="12370" spans="1:5" x14ac:dyDescent="0.25">
      <c r="A12370" s="5">
        <f>12362</f>
      </c>
      <c r="B12370" s="5" t="s">
        <v>11641</v>
      </c>
      <c r="C12370" s="5" t="s">
        <v>11</v>
      </c>
      <c r="D12370" s="5" t="s">
        <v>12</v>
      </c>
      <c r="E12370" s="5" t="s">
        <v>2579</v>
      </c>
    </row>
    <row r="12371" spans="1:5" x14ac:dyDescent="0.25">
      <c r="A12371" s="5">
        <f>12363</f>
      </c>
      <c r="B12371" s="5" t="s">
        <v>11642</v>
      </c>
      <c r="C12371" s="5" t="s">
        <v>11</v>
      </c>
      <c r="D12371" s="5" t="s">
        <v>12</v>
      </c>
      <c r="E12371" s="5" t="s">
        <v>1034</v>
      </c>
    </row>
    <row r="12372" spans="1:5" x14ac:dyDescent="0.25">
      <c r="A12372" s="5">
        <f>12364</f>
      </c>
      <c r="B12372" s="5" t="s">
        <v>11643</v>
      </c>
      <c r="C12372" s="5" t="s">
        <v>11</v>
      </c>
      <c r="D12372" s="5" t="s">
        <v>12</v>
      </c>
      <c r="E12372" s="5" t="s">
        <v>873</v>
      </c>
    </row>
    <row r="12373" spans="1:5" x14ac:dyDescent="0.25">
      <c r="A12373" s="5">
        <f>12365</f>
      </c>
      <c r="B12373" s="5" t="s">
        <v>11644</v>
      </c>
      <c r="C12373" s="5" t="s">
        <v>11</v>
      </c>
      <c r="D12373" s="5" t="s">
        <v>12</v>
      </c>
      <c r="E12373" s="5" t="s">
        <v>10557</v>
      </c>
    </row>
    <row r="12374" spans="1:5" x14ac:dyDescent="0.25">
      <c r="A12374" s="5">
        <f>12366</f>
      </c>
      <c r="B12374" s="5" t="s">
        <v>11645</v>
      </c>
      <c r="C12374" s="5" t="s">
        <v>11</v>
      </c>
      <c r="D12374" s="5" t="s">
        <v>12</v>
      </c>
      <c r="E12374" s="5" t="s">
        <v>2665</v>
      </c>
    </row>
    <row r="12375" spans="1:5" x14ac:dyDescent="0.25">
      <c r="A12375" s="5">
        <f>12367</f>
      </c>
      <c r="B12375" s="5" t="s">
        <v>11646</v>
      </c>
      <c r="C12375" s="5" t="s">
        <v>11</v>
      </c>
      <c r="D12375" s="5" t="s">
        <v>12</v>
      </c>
      <c r="E12375" s="5" t="s">
        <v>732</v>
      </c>
    </row>
    <row r="12376" spans="1:5" x14ac:dyDescent="0.25">
      <c r="A12376" s="5">
        <f>12368</f>
      </c>
      <c r="B12376" s="5" t="s">
        <v>11647</v>
      </c>
      <c r="C12376" s="5" t="s">
        <v>11</v>
      </c>
      <c r="D12376" s="5" t="s">
        <v>12</v>
      </c>
      <c r="E12376" s="5" t="s">
        <v>2648</v>
      </c>
    </row>
    <row r="12377" spans="1:5" x14ac:dyDescent="0.25">
      <c r="A12377" s="5">
        <f>12369</f>
      </c>
      <c r="B12377" s="5" t="s">
        <v>11648</v>
      </c>
      <c r="C12377" s="5" t="s">
        <v>11</v>
      </c>
      <c r="D12377" s="5" t="s">
        <v>12</v>
      </c>
      <c r="E12377" s="5" t="s">
        <v>935</v>
      </c>
    </row>
    <row r="12378" spans="1:5" x14ac:dyDescent="0.25">
      <c r="A12378" s="5">
        <f>12370</f>
      </c>
      <c r="B12378" s="5" t="s">
        <v>11649</v>
      </c>
      <c r="C12378" s="5" t="s">
        <v>11</v>
      </c>
      <c r="D12378" s="5" t="s">
        <v>12</v>
      </c>
      <c r="E12378" s="5" t="s">
        <v>3500</v>
      </c>
    </row>
    <row r="12379" spans="1:5" x14ac:dyDescent="0.25">
      <c r="A12379" s="5">
        <f>12371</f>
      </c>
      <c r="B12379" s="5" t="s">
        <v>11650</v>
      </c>
      <c r="C12379" s="5" t="s">
        <v>11</v>
      </c>
      <c r="D12379" s="5" t="s">
        <v>12</v>
      </c>
      <c r="E12379" s="5" t="s">
        <v>869</v>
      </c>
    </row>
    <row r="12380" spans="1:5" x14ac:dyDescent="0.25">
      <c r="A12380" s="5">
        <f>12372</f>
      </c>
      <c r="B12380" s="5" t="s">
        <v>11651</v>
      </c>
      <c r="C12380" s="5" t="s">
        <v>11</v>
      </c>
      <c r="D12380" s="5" t="s">
        <v>12</v>
      </c>
      <c r="E12380" s="5" t="s">
        <v>869</v>
      </c>
    </row>
    <row r="12381" spans="1:5" x14ac:dyDescent="0.25">
      <c r="A12381" s="5">
        <f>12373</f>
      </c>
      <c r="B12381" s="5" t="s">
        <v>11652</v>
      </c>
      <c r="C12381" s="5" t="s">
        <v>11</v>
      </c>
      <c r="D12381" s="5" t="s">
        <v>12</v>
      </c>
      <c r="E12381" s="5" t="s">
        <v>869</v>
      </c>
    </row>
    <row r="12382" spans="1:5" x14ac:dyDescent="0.25">
      <c r="A12382" s="5">
        <f>12374</f>
      </c>
      <c r="B12382" s="5" t="s">
        <v>11653</v>
      </c>
      <c r="C12382" s="5" t="s">
        <v>11</v>
      </c>
      <c r="D12382" s="5" t="s">
        <v>12</v>
      </c>
      <c r="E12382" s="5" t="s">
        <v>3754</v>
      </c>
    </row>
    <row r="12383" spans="1:5" x14ac:dyDescent="0.25">
      <c r="A12383" s="5">
        <f>12375</f>
      </c>
      <c r="B12383" s="5" t="s">
        <v>11654</v>
      </c>
      <c r="C12383" s="5" t="s">
        <v>11</v>
      </c>
      <c r="D12383" s="5" t="s">
        <v>12</v>
      </c>
      <c r="E12383" s="5" t="s">
        <v>3754</v>
      </c>
    </row>
    <row r="12384" spans="1:5" x14ac:dyDescent="0.25">
      <c r="A12384" s="5">
        <f>12376</f>
      </c>
      <c r="B12384" s="5" t="s">
        <v>11655</v>
      </c>
      <c r="C12384" s="5" t="s">
        <v>11</v>
      </c>
      <c r="D12384" s="5" t="s">
        <v>12</v>
      </c>
      <c r="E12384" s="5" t="s">
        <v>3754</v>
      </c>
    </row>
    <row r="12385" spans="1:5" x14ac:dyDescent="0.25">
      <c r="A12385" s="5">
        <f>12377</f>
      </c>
      <c r="B12385" s="5" t="s">
        <v>11656</v>
      </c>
      <c r="C12385" s="5" t="s">
        <v>11</v>
      </c>
      <c r="D12385" s="5" t="s">
        <v>12</v>
      </c>
      <c r="E12385" s="5" t="s">
        <v>3754</v>
      </c>
    </row>
    <row r="12386" spans="1:5" x14ac:dyDescent="0.25">
      <c r="A12386" s="5">
        <f>12378</f>
      </c>
      <c r="B12386" s="5" t="s">
        <v>11657</v>
      </c>
      <c r="C12386" s="5" t="s">
        <v>11</v>
      </c>
      <c r="D12386" s="5" t="s">
        <v>12</v>
      </c>
      <c r="E12386" s="5" t="s">
        <v>3754</v>
      </c>
    </row>
    <row r="12387" spans="1:5" x14ac:dyDescent="0.25">
      <c r="A12387" s="5">
        <f>12379</f>
      </c>
      <c r="B12387" s="5" t="s">
        <v>11658</v>
      </c>
      <c r="C12387" s="5" t="s">
        <v>11</v>
      </c>
      <c r="D12387" s="5" t="s">
        <v>12</v>
      </c>
      <c r="E12387" s="5" t="s">
        <v>3754</v>
      </c>
    </row>
    <row r="12388" spans="1:5" x14ac:dyDescent="0.25">
      <c r="A12388" s="5">
        <f>12380</f>
      </c>
      <c r="B12388" s="5" t="s">
        <v>11659</v>
      </c>
      <c r="C12388" s="5" t="s">
        <v>11</v>
      </c>
      <c r="D12388" s="5" t="s">
        <v>12</v>
      </c>
      <c r="E12388" s="5" t="s">
        <v>3754</v>
      </c>
    </row>
    <row r="12389" spans="1:5" x14ac:dyDescent="0.25">
      <c r="A12389" s="5">
        <f>12381</f>
      </c>
      <c r="B12389" s="5" t="s">
        <v>11660</v>
      </c>
      <c r="C12389" s="5" t="s">
        <v>11</v>
      </c>
      <c r="D12389" s="5" t="s">
        <v>12</v>
      </c>
      <c r="E12389" s="5" t="s">
        <v>3754</v>
      </c>
    </row>
    <row r="12390" spans="1:5" x14ac:dyDescent="0.25">
      <c r="A12390" s="5">
        <f>12382</f>
      </c>
      <c r="B12390" s="5" t="s">
        <v>11661</v>
      </c>
      <c r="C12390" s="5" t="s">
        <v>11</v>
      </c>
      <c r="D12390" s="5" t="s">
        <v>12</v>
      </c>
      <c r="E12390" s="5" t="s">
        <v>3754</v>
      </c>
    </row>
    <row r="12391" spans="1:5" x14ac:dyDescent="0.25">
      <c r="A12391" s="5">
        <f>12383</f>
      </c>
      <c r="B12391" s="5" t="s">
        <v>11662</v>
      </c>
      <c r="C12391" s="5" t="s">
        <v>11</v>
      </c>
      <c r="D12391" s="5" t="s">
        <v>12</v>
      </c>
      <c r="E12391" s="5" t="s">
        <v>3754</v>
      </c>
    </row>
    <row r="12392" spans="1:5" x14ac:dyDescent="0.25">
      <c r="A12392" s="5">
        <f>12384</f>
      </c>
      <c r="B12392" s="5" t="s">
        <v>11663</v>
      </c>
      <c r="C12392" s="5" t="s">
        <v>11</v>
      </c>
      <c r="D12392" s="5" t="s">
        <v>12</v>
      </c>
      <c r="E12392" s="5" t="s">
        <v>3754</v>
      </c>
    </row>
    <row r="12393" spans="1:5" x14ac:dyDescent="0.25">
      <c r="A12393" s="5">
        <f>12385</f>
      </c>
      <c r="B12393" s="5" t="s">
        <v>11664</v>
      </c>
      <c r="C12393" s="5" t="s">
        <v>11</v>
      </c>
      <c r="D12393" s="5" t="s">
        <v>12</v>
      </c>
      <c r="E12393" s="5" t="s">
        <v>3754</v>
      </c>
    </row>
    <row r="12394" spans="1:5" x14ac:dyDescent="0.25">
      <c r="A12394" s="5">
        <f>12386</f>
      </c>
      <c r="B12394" s="5" t="s">
        <v>11665</v>
      </c>
      <c r="C12394" s="5" t="s">
        <v>11</v>
      </c>
      <c r="D12394" s="5" t="s">
        <v>12</v>
      </c>
      <c r="E12394" s="5" t="s">
        <v>927</v>
      </c>
    </row>
    <row r="12395" spans="1:5" x14ac:dyDescent="0.25">
      <c r="A12395" s="5">
        <f>12387</f>
      </c>
      <c r="B12395" s="5" t="s">
        <v>11666</v>
      </c>
      <c r="C12395" s="5" t="s">
        <v>11</v>
      </c>
      <c r="D12395" s="5" t="s">
        <v>12</v>
      </c>
      <c r="E12395" s="5" t="s">
        <v>917</v>
      </c>
    </row>
    <row r="12396" spans="1:5" x14ac:dyDescent="0.25">
      <c r="A12396" s="5">
        <f>12388</f>
      </c>
      <c r="B12396" s="5" t="s">
        <v>11667</v>
      </c>
      <c r="C12396" s="5" t="s">
        <v>11</v>
      </c>
      <c r="D12396" s="5" t="s">
        <v>12</v>
      </c>
      <c r="E12396" s="5" t="s">
        <v>3962</v>
      </c>
    </row>
    <row r="12397" spans="1:5" x14ac:dyDescent="0.25">
      <c r="A12397" s="5">
        <f>12389</f>
      </c>
      <c r="B12397" s="5" t="s">
        <v>11668</v>
      </c>
      <c r="C12397" s="5" t="s">
        <v>11</v>
      </c>
      <c r="D12397" s="5" t="s">
        <v>12</v>
      </c>
      <c r="E12397" s="5" t="s">
        <v>3962</v>
      </c>
    </row>
    <row r="12398" spans="1:5" x14ac:dyDescent="0.25">
      <c r="A12398" s="5">
        <f>12390</f>
      </c>
      <c r="B12398" s="5" t="s">
        <v>11669</v>
      </c>
      <c r="C12398" s="5" t="s">
        <v>11</v>
      </c>
      <c r="D12398" s="5" t="s">
        <v>12</v>
      </c>
      <c r="E12398" s="5" t="s">
        <v>3962</v>
      </c>
    </row>
    <row r="12399" spans="1:5" x14ac:dyDescent="0.25">
      <c r="A12399" s="5">
        <f>12391</f>
      </c>
      <c r="B12399" s="5" t="s">
        <v>11670</v>
      </c>
      <c r="C12399" s="5" t="s">
        <v>11</v>
      </c>
      <c r="D12399" s="5" t="s">
        <v>12</v>
      </c>
      <c r="E12399" s="5" t="s">
        <v>3962</v>
      </c>
    </row>
    <row r="12400" spans="1:5" x14ac:dyDescent="0.25">
      <c r="A12400" s="5">
        <f>12392</f>
      </c>
      <c r="B12400" s="5" t="s">
        <v>11671</v>
      </c>
      <c r="C12400" s="5" t="s">
        <v>11</v>
      </c>
      <c r="D12400" s="5" t="s">
        <v>12</v>
      </c>
      <c r="E12400" s="5" t="s">
        <v>2575</v>
      </c>
    </row>
    <row r="12401" spans="1:5" x14ac:dyDescent="0.25">
      <c r="A12401" s="5">
        <f>12393</f>
      </c>
      <c r="B12401" s="5" t="s">
        <v>11672</v>
      </c>
      <c r="C12401" s="5" t="s">
        <v>11</v>
      </c>
      <c r="D12401" s="5" t="s">
        <v>12</v>
      </c>
      <c r="E12401" s="5" t="s">
        <v>823</v>
      </c>
    </row>
    <row r="12402" spans="1:5" x14ac:dyDescent="0.25">
      <c r="A12402" s="5">
        <f>12394</f>
      </c>
      <c r="B12402" s="5" t="s">
        <v>11673</v>
      </c>
      <c r="C12402" s="5" t="s">
        <v>11</v>
      </c>
      <c r="D12402" s="5" t="s">
        <v>12</v>
      </c>
      <c r="E12402" s="5" t="s">
        <v>828</v>
      </c>
    </row>
    <row r="12403" spans="1:5" x14ac:dyDescent="0.25">
      <c r="A12403" s="5">
        <f>12395</f>
      </c>
      <c r="B12403" s="5" t="s">
        <v>11674</v>
      </c>
      <c r="C12403" s="5" t="s">
        <v>11</v>
      </c>
      <c r="D12403" s="5" t="s">
        <v>12</v>
      </c>
      <c r="E12403" s="5" t="s">
        <v>4039</v>
      </c>
    </row>
    <row r="12404" spans="1:5" x14ac:dyDescent="0.25">
      <c r="A12404" s="5">
        <f>12396</f>
      </c>
      <c r="B12404" s="5" t="s">
        <v>11675</v>
      </c>
      <c r="C12404" s="5" t="s">
        <v>11</v>
      </c>
      <c r="D12404" s="5" t="s">
        <v>12</v>
      </c>
      <c r="E12404" s="5" t="s">
        <v>3761</v>
      </c>
    </row>
    <row r="12405" spans="1:5" x14ac:dyDescent="0.25">
      <c r="A12405" s="5">
        <f>12397</f>
      </c>
      <c r="B12405" s="5" t="s">
        <v>11676</v>
      </c>
      <c r="C12405" s="5" t="s">
        <v>11</v>
      </c>
      <c r="D12405" s="5" t="s">
        <v>12</v>
      </c>
      <c r="E12405" s="5" t="s">
        <v>3891</v>
      </c>
    </row>
    <row r="12406" spans="1:5" x14ac:dyDescent="0.25">
      <c r="A12406" s="5">
        <f>12398</f>
      </c>
      <c r="B12406" s="5" t="s">
        <v>11677</v>
      </c>
      <c r="C12406" s="5" t="s">
        <v>11</v>
      </c>
      <c r="D12406" s="5" t="s">
        <v>12</v>
      </c>
      <c r="E12406" s="5" t="s">
        <v>3924</v>
      </c>
    </row>
    <row r="12407" spans="1:5" x14ac:dyDescent="0.25">
      <c r="A12407" s="5">
        <f>12399</f>
      </c>
      <c r="B12407" s="5" t="s">
        <v>11678</v>
      </c>
      <c r="C12407" s="5" t="s">
        <v>11</v>
      </c>
      <c r="D12407" s="5" t="s">
        <v>12</v>
      </c>
      <c r="E12407" s="5" t="s">
        <v>941</v>
      </c>
    </row>
    <row r="12408" spans="1:5" x14ac:dyDescent="0.25">
      <c r="A12408" s="5">
        <f>12400</f>
      </c>
      <c r="B12408" s="5" t="s">
        <v>11679</v>
      </c>
      <c r="C12408" s="5" t="s">
        <v>11</v>
      </c>
      <c r="D12408" s="5" t="s">
        <v>12</v>
      </c>
      <c r="E12408" s="5" t="s">
        <v>9518</v>
      </c>
    </row>
    <row r="12409" spans="1:5" x14ac:dyDescent="0.25">
      <c r="A12409" s="5">
        <f>12401</f>
      </c>
      <c r="B12409" s="5" t="s">
        <v>11680</v>
      </c>
      <c r="C12409" s="5" t="s">
        <v>11</v>
      </c>
      <c r="D12409" s="5" t="s">
        <v>12</v>
      </c>
      <c r="E12409" s="5" t="s">
        <v>2588</v>
      </c>
    </row>
    <row r="12410" spans="1:5" x14ac:dyDescent="0.25">
      <c r="A12410" s="5">
        <f>12402</f>
      </c>
      <c r="B12410" s="5" t="s">
        <v>11681</v>
      </c>
      <c r="C12410" s="5" t="s">
        <v>11</v>
      </c>
      <c r="D12410" s="5" t="s">
        <v>12</v>
      </c>
      <c r="E12410" s="5" t="s">
        <v>10574</v>
      </c>
    </row>
    <row r="12411" spans="1:5" x14ac:dyDescent="0.25">
      <c r="A12411" s="5">
        <f>12403</f>
      </c>
      <c r="B12411" s="5" t="s">
        <v>11682</v>
      </c>
      <c r="C12411" s="5" t="s">
        <v>11</v>
      </c>
      <c r="D12411" s="5" t="s">
        <v>12</v>
      </c>
      <c r="E12411" s="5" t="s">
        <v>3860</v>
      </c>
    </row>
    <row r="12412" spans="1:5" x14ac:dyDescent="0.25">
      <c r="A12412" s="5">
        <f>12404</f>
      </c>
      <c r="B12412" s="5" t="s">
        <v>11683</v>
      </c>
      <c r="C12412" s="5" t="s">
        <v>11</v>
      </c>
      <c r="D12412" s="5" t="s">
        <v>12</v>
      </c>
      <c r="E12412" s="5" t="s">
        <v>4066</v>
      </c>
    </row>
    <row r="12413" spans="1:5" x14ac:dyDescent="0.25">
      <c r="A12413" s="5">
        <f>12405</f>
      </c>
      <c r="B12413" s="5" t="s">
        <v>11684</v>
      </c>
      <c r="C12413" s="5" t="s">
        <v>11</v>
      </c>
      <c r="D12413" s="5" t="s">
        <v>12</v>
      </c>
      <c r="E12413" s="5" t="s">
        <v>2883</v>
      </c>
    </row>
    <row r="12414" spans="1:5" x14ac:dyDescent="0.25">
      <c r="A12414" s="5">
        <f>12406</f>
      </c>
      <c r="B12414" s="5" t="s">
        <v>11685</v>
      </c>
      <c r="C12414" s="5" t="s">
        <v>11</v>
      </c>
      <c r="D12414" s="5" t="s">
        <v>12</v>
      </c>
      <c r="E12414" s="5" t="s">
        <v>2883</v>
      </c>
    </row>
    <row r="12415" spans="1:5" x14ac:dyDescent="0.25">
      <c r="A12415" s="5">
        <f>12407</f>
      </c>
      <c r="B12415" s="5" t="s">
        <v>11686</v>
      </c>
      <c r="C12415" s="5" t="s">
        <v>11</v>
      </c>
      <c r="D12415" s="5" t="s">
        <v>12</v>
      </c>
      <c r="E12415" s="5" t="s">
        <v>2407</v>
      </c>
    </row>
    <row r="12416" spans="1:5" x14ac:dyDescent="0.25">
      <c r="A12416" s="5">
        <f>12408</f>
      </c>
      <c r="B12416" s="5" t="s">
        <v>11687</v>
      </c>
      <c r="C12416" s="5" t="s">
        <v>11</v>
      </c>
      <c r="D12416" s="5" t="s">
        <v>12</v>
      </c>
      <c r="E12416" s="5" t="s">
        <v>3680</v>
      </c>
    </row>
    <row r="12417" spans="1:5" x14ac:dyDescent="0.25">
      <c r="A12417" s="5">
        <f>12409</f>
      </c>
      <c r="B12417" s="5" t="s">
        <v>11688</v>
      </c>
      <c r="C12417" s="5" t="s">
        <v>11</v>
      </c>
      <c r="D12417" s="5" t="s">
        <v>12</v>
      </c>
      <c r="E12417" s="5" t="s">
        <v>4289</v>
      </c>
    </row>
    <row r="12418" spans="1:5" x14ac:dyDescent="0.25">
      <c r="A12418" s="5">
        <f>12410</f>
      </c>
      <c r="B12418" s="5" t="s">
        <v>11689</v>
      </c>
      <c r="C12418" s="5" t="s">
        <v>11</v>
      </c>
      <c r="D12418" s="5" t="s">
        <v>12</v>
      </c>
      <c r="E12418" s="5" t="s">
        <v>718</v>
      </c>
    </row>
    <row r="12419" spans="1:5" x14ac:dyDescent="0.25">
      <c r="A12419" s="5">
        <f>12411</f>
      </c>
      <c r="B12419" s="5" t="s">
        <v>11690</v>
      </c>
      <c r="C12419" s="5" t="s">
        <v>11</v>
      </c>
      <c r="D12419" s="5" t="s">
        <v>12</v>
      </c>
      <c r="E12419" s="5" t="s">
        <v>3506</v>
      </c>
    </row>
    <row r="12420" spans="1:5" x14ac:dyDescent="0.25">
      <c r="A12420" s="5">
        <f>12412</f>
      </c>
      <c r="B12420" s="5" t="s">
        <v>11691</v>
      </c>
      <c r="C12420" s="5" t="s">
        <v>11</v>
      </c>
      <c r="D12420" s="5" t="s">
        <v>12</v>
      </c>
      <c r="E12420" s="5" t="s">
        <v>1051</v>
      </c>
    </row>
    <row r="12421" spans="1:5" x14ac:dyDescent="0.25">
      <c r="A12421" s="5">
        <f>12413</f>
      </c>
      <c r="B12421" s="5" t="s">
        <v>11692</v>
      </c>
      <c r="C12421" s="5" t="s">
        <v>11</v>
      </c>
      <c r="D12421" s="5" t="s">
        <v>12</v>
      </c>
      <c r="E12421" s="5" t="s">
        <v>2876</v>
      </c>
    </row>
    <row r="12422" spans="1:5" x14ac:dyDescent="0.25">
      <c r="A12422" s="5">
        <f>12414</f>
      </c>
      <c r="B12422" s="5" t="s">
        <v>11693</v>
      </c>
      <c r="C12422" s="5" t="s">
        <v>11</v>
      </c>
      <c r="D12422" s="5" t="s">
        <v>12</v>
      </c>
      <c r="E12422" s="5" t="s">
        <v>10739</v>
      </c>
    </row>
    <row r="12423" spans="1:5" x14ac:dyDescent="0.25">
      <c r="A12423" s="5">
        <f>12415</f>
      </c>
      <c r="B12423" s="5" t="s">
        <v>11694</v>
      </c>
      <c r="C12423" s="5" t="s">
        <v>11</v>
      </c>
      <c r="D12423" s="5" t="s">
        <v>12</v>
      </c>
      <c r="E12423" s="5" t="s">
        <v>1067</v>
      </c>
    </row>
    <row r="12424" spans="1:5" x14ac:dyDescent="0.25">
      <c r="A12424" s="5">
        <f>12416</f>
      </c>
      <c r="B12424" s="5" t="s">
        <v>11695</v>
      </c>
      <c r="C12424" s="5" t="s">
        <v>11</v>
      </c>
      <c r="D12424" s="5" t="s">
        <v>12</v>
      </c>
      <c r="E12424" s="5" t="s">
        <v>1067</v>
      </c>
    </row>
    <row r="12425" spans="1:5" x14ac:dyDescent="0.25">
      <c r="A12425" s="5">
        <f>12417</f>
      </c>
      <c r="B12425" s="5" t="s">
        <v>11696</v>
      </c>
      <c r="C12425" s="5" t="s">
        <v>11</v>
      </c>
      <c r="D12425" s="5" t="s">
        <v>12</v>
      </c>
      <c r="E12425" s="5" t="s">
        <v>1067</v>
      </c>
    </row>
    <row r="12426" spans="1:5" x14ac:dyDescent="0.25">
      <c r="A12426" s="5">
        <f>12418</f>
      </c>
      <c r="B12426" s="5" t="s">
        <v>11697</v>
      </c>
      <c r="C12426" s="5" t="s">
        <v>11</v>
      </c>
      <c r="D12426" s="5" t="s">
        <v>12</v>
      </c>
      <c r="E12426" s="5" t="s">
        <v>3754</v>
      </c>
    </row>
    <row r="12427" spans="1:5" x14ac:dyDescent="0.25">
      <c r="A12427" s="5">
        <f>12419</f>
      </c>
      <c r="B12427" s="5" t="s">
        <v>11698</v>
      </c>
      <c r="C12427" s="5" t="s">
        <v>11</v>
      </c>
      <c r="D12427" s="5" t="s">
        <v>12</v>
      </c>
      <c r="E12427" s="5" t="s">
        <v>10541</v>
      </c>
    </row>
    <row r="12428" spans="1:5" x14ac:dyDescent="0.25">
      <c r="A12428" s="5">
        <f>12420</f>
      </c>
      <c r="B12428" s="5" t="s">
        <v>11699</v>
      </c>
      <c r="C12428" s="5" t="s">
        <v>11</v>
      </c>
      <c r="D12428" s="5" t="s">
        <v>12</v>
      </c>
      <c r="E12428" s="5" t="s">
        <v>2316</v>
      </c>
    </row>
    <row r="12429" spans="1:5" x14ac:dyDescent="0.25">
      <c r="A12429" s="5">
        <f>12421</f>
      </c>
      <c r="B12429" s="5" t="s">
        <v>11700</v>
      </c>
      <c r="C12429" s="5" t="s">
        <v>11</v>
      </c>
      <c r="D12429" s="5" t="s">
        <v>12</v>
      </c>
      <c r="E12429" s="5" t="s">
        <v>2316</v>
      </c>
    </row>
    <row r="12430" spans="1:5" x14ac:dyDescent="0.25">
      <c r="A12430" s="5">
        <f>12422</f>
      </c>
      <c r="B12430" s="5" t="s">
        <v>11701</v>
      </c>
      <c r="C12430" s="5" t="s">
        <v>11</v>
      </c>
      <c r="D12430" s="5" t="s">
        <v>12</v>
      </c>
      <c r="E12430" s="5" t="s">
        <v>10756</v>
      </c>
    </row>
    <row r="12431" spans="1:5" x14ac:dyDescent="0.25">
      <c r="A12431" s="5">
        <f>12423</f>
      </c>
      <c r="B12431" s="5" t="s">
        <v>11702</v>
      </c>
      <c r="C12431" s="5" t="s">
        <v>11</v>
      </c>
      <c r="D12431" s="5" t="s">
        <v>12</v>
      </c>
      <c r="E12431" s="5" t="s">
        <v>2343</v>
      </c>
    </row>
    <row r="12432" spans="1:5" x14ac:dyDescent="0.25">
      <c r="A12432" s="5">
        <f>12424</f>
      </c>
      <c r="B12432" s="5" t="s">
        <v>11703</v>
      </c>
      <c r="C12432" s="5" t="s">
        <v>11</v>
      </c>
      <c r="D12432" s="5" t="s">
        <v>12</v>
      </c>
      <c r="E12432" s="5" t="s">
        <v>1056</v>
      </c>
    </row>
    <row r="12433" spans="1:5" x14ac:dyDescent="0.25">
      <c r="A12433" s="5">
        <f>12425</f>
      </c>
      <c r="B12433" s="5" t="s">
        <v>11704</v>
      </c>
      <c r="C12433" s="5" t="s">
        <v>11</v>
      </c>
      <c r="D12433" s="5" t="s">
        <v>12</v>
      </c>
      <c r="E12433" s="5" t="s">
        <v>11362</v>
      </c>
    </row>
    <row r="12434" spans="1:5" x14ac:dyDescent="0.25">
      <c r="A12434" s="5">
        <f>12426</f>
      </c>
      <c r="B12434" s="5" t="s">
        <v>11705</v>
      </c>
      <c r="C12434" s="5" t="s">
        <v>11</v>
      </c>
      <c r="D12434" s="5" t="s">
        <v>12</v>
      </c>
      <c r="E12434" s="5" t="s">
        <v>2409</v>
      </c>
    </row>
    <row r="12435" spans="1:5" x14ac:dyDescent="0.25">
      <c r="A12435" s="5">
        <f>12427</f>
      </c>
      <c r="B12435" s="5" t="s">
        <v>11706</v>
      </c>
      <c r="C12435" s="5" t="s">
        <v>11</v>
      </c>
      <c r="D12435" s="5" t="s">
        <v>12</v>
      </c>
      <c r="E12435" s="5" t="s">
        <v>4051</v>
      </c>
    </row>
    <row r="12436" spans="1:5" x14ac:dyDescent="0.25">
      <c r="A12436" s="5">
        <f>12428</f>
      </c>
      <c r="B12436" s="5" t="s">
        <v>11707</v>
      </c>
      <c r="C12436" s="5" t="s">
        <v>11</v>
      </c>
      <c r="D12436" s="5" t="s">
        <v>12</v>
      </c>
      <c r="E12436" s="5" t="s">
        <v>10059</v>
      </c>
    </row>
    <row r="12437" spans="1:5" x14ac:dyDescent="0.25">
      <c r="A12437" s="5">
        <f>12429</f>
      </c>
      <c r="B12437" s="5" t="s">
        <v>11708</v>
      </c>
      <c r="C12437" s="5" t="s">
        <v>11</v>
      </c>
      <c r="D12437" s="5" t="s">
        <v>12</v>
      </c>
      <c r="E12437" s="5" t="s">
        <v>3962</v>
      </c>
    </row>
    <row r="12438" spans="1:5" x14ac:dyDescent="0.25">
      <c r="A12438" s="5">
        <f>12430</f>
      </c>
      <c r="B12438" s="5" t="s">
        <v>11709</v>
      </c>
      <c r="C12438" s="5" t="s">
        <v>11</v>
      </c>
      <c r="D12438" s="5" t="s">
        <v>12</v>
      </c>
      <c r="E12438" s="5" t="s">
        <v>2668</v>
      </c>
    </row>
    <row r="12439" spans="1:5" x14ac:dyDescent="0.25">
      <c r="A12439" s="5">
        <f>12431</f>
      </c>
      <c r="B12439" s="5" t="s">
        <v>11710</v>
      </c>
      <c r="C12439" s="5" t="s">
        <v>11</v>
      </c>
      <c r="D12439" s="5" t="s">
        <v>12</v>
      </c>
      <c r="E12439" s="5" t="s">
        <v>3674</v>
      </c>
    </row>
    <row r="12440" spans="1:5" x14ac:dyDescent="0.25">
      <c r="A12440" s="5">
        <f>12432</f>
      </c>
      <c r="B12440" s="5" t="s">
        <v>11711</v>
      </c>
      <c r="C12440" s="5" t="s">
        <v>11</v>
      </c>
      <c r="D12440" s="5" t="s">
        <v>12</v>
      </c>
      <c r="E12440" s="5" t="s">
        <v>3674</v>
      </c>
    </row>
    <row r="12441" spans="1:5" x14ac:dyDescent="0.25">
      <c r="A12441" s="5">
        <f>12433</f>
      </c>
      <c r="B12441" s="5" t="s">
        <v>11712</v>
      </c>
      <c r="C12441" s="5" t="s">
        <v>11</v>
      </c>
      <c r="D12441" s="5" t="s">
        <v>12</v>
      </c>
      <c r="E12441" s="5" t="s">
        <v>2665</v>
      </c>
    </row>
    <row r="12442" spans="1:5" x14ac:dyDescent="0.25">
      <c r="A12442" s="5">
        <f>12434</f>
      </c>
      <c r="B12442" s="5" t="s">
        <v>11713</v>
      </c>
      <c r="C12442" s="5" t="s">
        <v>11</v>
      </c>
      <c r="D12442" s="5" t="s">
        <v>12</v>
      </c>
      <c r="E12442" s="5" t="s">
        <v>892</v>
      </c>
    </row>
    <row r="12443" spans="1:5" x14ac:dyDescent="0.25">
      <c r="A12443" s="5">
        <f>12435</f>
      </c>
      <c r="B12443" s="5" t="s">
        <v>11714</v>
      </c>
      <c r="C12443" s="5" t="s">
        <v>11</v>
      </c>
      <c r="D12443" s="5" t="s">
        <v>12</v>
      </c>
      <c r="E12443" s="5" t="s">
        <v>2944</v>
      </c>
    </row>
    <row r="12444" spans="1:5" x14ac:dyDescent="0.25">
      <c r="A12444" s="5">
        <f>12436</f>
      </c>
      <c r="B12444" s="5" t="s">
        <v>11715</v>
      </c>
      <c r="C12444" s="5" t="s">
        <v>11</v>
      </c>
      <c r="D12444" s="5" t="s">
        <v>12</v>
      </c>
      <c r="E12444" s="5" t="s">
        <v>2816</v>
      </c>
    </row>
    <row r="12445" spans="1:5" x14ac:dyDescent="0.25">
      <c r="A12445" s="5">
        <f>12437</f>
      </c>
      <c r="B12445" s="5" t="s">
        <v>11716</v>
      </c>
      <c r="C12445" s="5" t="s">
        <v>11</v>
      </c>
      <c r="D12445" s="5" t="s">
        <v>12</v>
      </c>
      <c r="E12445" s="5" t="s">
        <v>2298</v>
      </c>
    </row>
    <row r="12446" spans="1:5" x14ac:dyDescent="0.25">
      <c r="A12446" s="5">
        <f>12438</f>
      </c>
      <c r="B12446" s="5" t="s">
        <v>11717</v>
      </c>
      <c r="C12446" s="5" t="s">
        <v>11</v>
      </c>
      <c r="D12446" s="5" t="s">
        <v>12</v>
      </c>
      <c r="E12446" s="5" t="s">
        <v>3386</v>
      </c>
    </row>
    <row r="12447" spans="1:5" x14ac:dyDescent="0.25">
      <c r="A12447" s="5">
        <f>12439</f>
      </c>
      <c r="B12447" s="5" t="s">
        <v>11718</v>
      </c>
      <c r="C12447" s="5" t="s">
        <v>11</v>
      </c>
      <c r="D12447" s="5" t="s">
        <v>12</v>
      </c>
      <c r="E12447" s="5" t="s">
        <v>3759</v>
      </c>
    </row>
    <row r="12448" spans="1:5" x14ac:dyDescent="0.25">
      <c r="A12448" s="5">
        <f>12440</f>
      </c>
      <c r="B12448" s="5" t="s">
        <v>11719</v>
      </c>
      <c r="C12448" s="5" t="s">
        <v>11</v>
      </c>
      <c r="D12448" s="5" t="s">
        <v>12</v>
      </c>
      <c r="E12448" s="5" t="s">
        <v>2641</v>
      </c>
    </row>
    <row r="12449" spans="1:5" x14ac:dyDescent="0.25">
      <c r="A12449" s="5">
        <f>12441</f>
      </c>
      <c r="B12449" s="5" t="s">
        <v>11720</v>
      </c>
      <c r="C12449" s="5" t="s">
        <v>11</v>
      </c>
      <c r="D12449" s="5" t="s">
        <v>12</v>
      </c>
      <c r="E12449" s="5" t="s">
        <v>3586</v>
      </c>
    </row>
    <row r="12450" spans="1:5" x14ac:dyDescent="0.25">
      <c r="A12450" s="5">
        <f>12442</f>
      </c>
      <c r="B12450" s="5" t="s">
        <v>11721</v>
      </c>
      <c r="C12450" s="5" t="s">
        <v>11</v>
      </c>
      <c r="D12450" s="5" t="s">
        <v>12</v>
      </c>
      <c r="E12450" s="5" t="s">
        <v>963</v>
      </c>
    </row>
    <row r="12451" spans="1:5" x14ac:dyDescent="0.25">
      <c r="A12451" s="5">
        <f>12443</f>
      </c>
      <c r="B12451" s="5" t="s">
        <v>11722</v>
      </c>
      <c r="C12451" s="5" t="s">
        <v>11</v>
      </c>
      <c r="D12451" s="5" t="s">
        <v>12</v>
      </c>
      <c r="E12451" s="5" t="s">
        <v>3674</v>
      </c>
    </row>
    <row r="12452" spans="1:5" x14ac:dyDescent="0.25">
      <c r="A12452" s="5">
        <f>12444</f>
      </c>
      <c r="B12452" s="5" t="s">
        <v>11723</v>
      </c>
      <c r="C12452" s="5" t="s">
        <v>11</v>
      </c>
      <c r="D12452" s="5" t="s">
        <v>12</v>
      </c>
      <c r="E12452" s="5" t="s">
        <v>4156</v>
      </c>
    </row>
    <row r="12453" spans="1:5" x14ac:dyDescent="0.25">
      <c r="A12453" s="5">
        <f>12445</f>
      </c>
      <c r="B12453" s="5" t="s">
        <v>11724</v>
      </c>
      <c r="C12453" s="5" t="s">
        <v>11</v>
      </c>
      <c r="D12453" s="5" t="s">
        <v>12</v>
      </c>
      <c r="E12453" s="5" t="s">
        <v>1051</v>
      </c>
    </row>
    <row r="12454" spans="1:5" x14ac:dyDescent="0.25">
      <c r="A12454" s="5">
        <f>12446</f>
      </c>
      <c r="B12454" s="5" t="s">
        <v>11725</v>
      </c>
      <c r="C12454" s="5" t="s">
        <v>11</v>
      </c>
      <c r="D12454" s="5" t="s">
        <v>12</v>
      </c>
      <c r="E12454" s="5" t="s">
        <v>10622</v>
      </c>
    </row>
    <row r="12455" spans="1:5" x14ac:dyDescent="0.25">
      <c r="A12455" s="5">
        <f>12447</f>
      </c>
      <c r="B12455" s="5" t="s">
        <v>11726</v>
      </c>
      <c r="C12455" s="5" t="s">
        <v>11</v>
      </c>
      <c r="D12455" s="5" t="s">
        <v>12</v>
      </c>
      <c r="E12455" s="5" t="s">
        <v>2816</v>
      </c>
    </row>
    <row r="12456" spans="1:5" x14ac:dyDescent="0.25">
      <c r="A12456" s="5">
        <f>12448</f>
      </c>
      <c r="B12456" s="5" t="s">
        <v>11727</v>
      </c>
      <c r="C12456" s="5" t="s">
        <v>11</v>
      </c>
      <c r="D12456" s="5" t="s">
        <v>12</v>
      </c>
      <c r="E12456" s="5" t="s">
        <v>3709</v>
      </c>
    </row>
    <row r="12457" spans="1:5" x14ac:dyDescent="0.25">
      <c r="A12457" s="5">
        <f>12449</f>
      </c>
      <c r="B12457" s="5" t="s">
        <v>11728</v>
      </c>
      <c r="C12457" s="5" t="s">
        <v>11</v>
      </c>
      <c r="D12457" s="5" t="s">
        <v>12</v>
      </c>
      <c r="E12457" s="5" t="s">
        <v>10622</v>
      </c>
    </row>
    <row r="12458" spans="1:5" x14ac:dyDescent="0.25">
      <c r="A12458" s="5">
        <f>12450</f>
      </c>
      <c r="B12458" s="5" t="s">
        <v>11729</v>
      </c>
      <c r="C12458" s="5" t="s">
        <v>11</v>
      </c>
      <c r="D12458" s="5" t="s">
        <v>12</v>
      </c>
      <c r="E12458" s="5" t="s">
        <v>2257</v>
      </c>
    </row>
    <row r="12459" spans="1:5" x14ac:dyDescent="0.25">
      <c r="A12459" s="5">
        <f>12451</f>
      </c>
      <c r="B12459" s="5" t="s">
        <v>11730</v>
      </c>
      <c r="C12459" s="5" t="s">
        <v>11</v>
      </c>
      <c r="D12459" s="5" t="s">
        <v>12</v>
      </c>
      <c r="E12459" s="5" t="s">
        <v>730</v>
      </c>
    </row>
    <row r="12460" spans="1:5" x14ac:dyDescent="0.25">
      <c r="A12460" s="5">
        <f>12452</f>
      </c>
      <c r="B12460" s="5" t="s">
        <v>11731</v>
      </c>
      <c r="C12460" s="5" t="s">
        <v>11</v>
      </c>
      <c r="D12460" s="5" t="s">
        <v>12</v>
      </c>
      <c r="E12460" s="5" t="s">
        <v>770</v>
      </c>
    </row>
    <row r="12461" spans="1:5" x14ac:dyDescent="0.25">
      <c r="A12461" s="5">
        <f>12453</f>
      </c>
      <c r="B12461" s="5" t="s">
        <v>11732</v>
      </c>
      <c r="C12461" s="5" t="s">
        <v>11</v>
      </c>
      <c r="D12461" s="5" t="s">
        <v>12</v>
      </c>
      <c r="E12461" s="5" t="s">
        <v>2262</v>
      </c>
    </row>
    <row r="12462" spans="1:5" x14ac:dyDescent="0.25">
      <c r="A12462" s="5">
        <f>12454</f>
      </c>
      <c r="B12462" s="5" t="s">
        <v>11733</v>
      </c>
      <c r="C12462" s="5" t="s">
        <v>11</v>
      </c>
      <c r="D12462" s="5" t="s">
        <v>12</v>
      </c>
      <c r="E12462" s="5" t="s">
        <v>2619</v>
      </c>
    </row>
    <row r="12463" spans="1:5" x14ac:dyDescent="0.25">
      <c r="A12463" s="5">
        <f>12455</f>
      </c>
      <c r="B12463" s="5" t="s">
        <v>11734</v>
      </c>
      <c r="C12463" s="5" t="s">
        <v>11</v>
      </c>
      <c r="D12463" s="5" t="s">
        <v>12</v>
      </c>
      <c r="E12463" s="5" t="s">
        <v>2257</v>
      </c>
    </row>
    <row r="12464" spans="1:5" x14ac:dyDescent="0.25">
      <c r="A12464" s="5">
        <f>12456</f>
      </c>
      <c r="B12464" s="5" t="s">
        <v>11735</v>
      </c>
      <c r="C12464" s="5" t="s">
        <v>11</v>
      </c>
      <c r="D12464" s="5" t="s">
        <v>12</v>
      </c>
      <c r="E12464" s="5" t="s">
        <v>3664</v>
      </c>
    </row>
    <row r="12465" spans="1:5" x14ac:dyDescent="0.25">
      <c r="A12465" s="5">
        <f>12457</f>
      </c>
      <c r="B12465" s="5" t="s">
        <v>11736</v>
      </c>
      <c r="C12465" s="5" t="s">
        <v>11</v>
      </c>
      <c r="D12465" s="5" t="s">
        <v>12</v>
      </c>
      <c r="E12465" s="5" t="s">
        <v>2316</v>
      </c>
    </row>
    <row r="12466" spans="1:5" x14ac:dyDescent="0.25">
      <c r="A12466" s="5">
        <f>12458</f>
      </c>
      <c r="B12466" s="5" t="s">
        <v>11737</v>
      </c>
      <c r="C12466" s="5" t="s">
        <v>11</v>
      </c>
      <c r="D12466" s="5" t="s">
        <v>12</v>
      </c>
      <c r="E12466" s="5" t="s">
        <v>3382</v>
      </c>
    </row>
    <row r="12467" spans="1:5" x14ac:dyDescent="0.25">
      <c r="A12467" s="5">
        <f>12459</f>
      </c>
      <c r="B12467" s="5" t="s">
        <v>11738</v>
      </c>
      <c r="C12467" s="5" t="s">
        <v>11</v>
      </c>
      <c r="D12467" s="5" t="s">
        <v>12</v>
      </c>
      <c r="E12467" s="5" t="s">
        <v>2341</v>
      </c>
    </row>
    <row r="12468" spans="1:5" x14ac:dyDescent="0.25">
      <c r="A12468" s="5">
        <f>12460</f>
      </c>
      <c r="B12468" s="5" t="s">
        <v>11739</v>
      </c>
      <c r="C12468" s="5" t="s">
        <v>11</v>
      </c>
      <c r="D12468" s="5" t="s">
        <v>12</v>
      </c>
      <c r="E12468" s="5" t="s">
        <v>3709</v>
      </c>
    </row>
    <row r="12469" spans="1:5" x14ac:dyDescent="0.25">
      <c r="A12469" s="5">
        <f>12461</f>
      </c>
      <c r="B12469" s="5" t="s">
        <v>11740</v>
      </c>
      <c r="C12469" s="5" t="s">
        <v>11</v>
      </c>
      <c r="D12469" s="5" t="s">
        <v>12</v>
      </c>
      <c r="E12469" s="5" t="s">
        <v>3598</v>
      </c>
    </row>
    <row r="12470" spans="1:5" x14ac:dyDescent="0.25">
      <c r="A12470" s="5">
        <f>12462</f>
      </c>
      <c r="B12470" s="5" t="s">
        <v>11741</v>
      </c>
      <c r="C12470" s="5" t="s">
        <v>11</v>
      </c>
      <c r="D12470" s="5" t="s">
        <v>12</v>
      </c>
      <c r="E12470" s="5" t="s">
        <v>3680</v>
      </c>
    </row>
    <row r="12471" spans="1:5" x14ac:dyDescent="0.25">
      <c r="A12471" s="5">
        <f>12463</f>
      </c>
      <c r="B12471" s="5" t="s">
        <v>11742</v>
      </c>
      <c r="C12471" s="5" t="s">
        <v>11</v>
      </c>
      <c r="D12471" s="5" t="s">
        <v>12</v>
      </c>
      <c r="E12471" s="5" t="s">
        <v>3598</v>
      </c>
    </row>
    <row r="12472" spans="1:5" x14ac:dyDescent="0.25">
      <c r="A12472" s="5">
        <f>12464</f>
      </c>
      <c r="B12472" s="5" t="s">
        <v>11743</v>
      </c>
      <c r="C12472" s="5" t="s">
        <v>11</v>
      </c>
      <c r="D12472" s="5" t="s">
        <v>12</v>
      </c>
      <c r="E12472" s="5" t="s">
        <v>930</v>
      </c>
    </row>
    <row r="12473" spans="1:5" x14ac:dyDescent="0.25">
      <c r="A12473" s="5">
        <f>12465</f>
      </c>
      <c r="B12473" s="5" t="s">
        <v>11744</v>
      </c>
      <c r="C12473" s="5" t="s">
        <v>11</v>
      </c>
      <c r="D12473" s="5" t="s">
        <v>12</v>
      </c>
      <c r="E12473" s="5" t="s">
        <v>879</v>
      </c>
    </row>
    <row r="12474" spans="1:5" x14ac:dyDescent="0.25">
      <c r="A12474" s="5">
        <f>12466</f>
      </c>
      <c r="B12474" s="5" t="s">
        <v>11745</v>
      </c>
      <c r="C12474" s="5" t="s">
        <v>11</v>
      </c>
      <c r="D12474" s="5" t="s">
        <v>12</v>
      </c>
      <c r="E12474" s="5" t="s">
        <v>4066</v>
      </c>
    </row>
    <row r="12475" spans="1:5" x14ac:dyDescent="0.25">
      <c r="A12475" s="5">
        <f>12467</f>
      </c>
      <c r="B12475" s="5" t="s">
        <v>11746</v>
      </c>
      <c r="C12475" s="5" t="s">
        <v>11</v>
      </c>
      <c r="D12475" s="5" t="s">
        <v>12</v>
      </c>
      <c r="E12475" s="5" t="s">
        <v>4066</v>
      </c>
    </row>
    <row r="12476" spans="1:5" x14ac:dyDescent="0.25">
      <c r="A12476" s="5">
        <f>12468</f>
      </c>
      <c r="B12476" s="5" t="s">
        <v>11747</v>
      </c>
      <c r="C12476" s="5" t="s">
        <v>11</v>
      </c>
      <c r="D12476" s="5" t="s">
        <v>12</v>
      </c>
      <c r="E12476" s="5" t="s">
        <v>4066</v>
      </c>
    </row>
    <row r="12477" spans="1:5" x14ac:dyDescent="0.25">
      <c r="A12477" s="5">
        <f>12469</f>
      </c>
      <c r="B12477" s="5" t="s">
        <v>11748</v>
      </c>
      <c r="C12477" s="5" t="s">
        <v>11</v>
      </c>
      <c r="D12477" s="5" t="s">
        <v>12</v>
      </c>
      <c r="E12477" s="5" t="s">
        <v>4105</v>
      </c>
    </row>
    <row r="12478" spans="1:5" x14ac:dyDescent="0.25">
      <c r="A12478" s="5">
        <f>12470</f>
      </c>
      <c r="B12478" s="5" t="s">
        <v>11749</v>
      </c>
      <c r="C12478" s="5" t="s">
        <v>11</v>
      </c>
      <c r="D12478" s="5" t="s">
        <v>12</v>
      </c>
      <c r="E12478" s="5" t="s">
        <v>2665</v>
      </c>
    </row>
    <row r="12479" spans="1:5" x14ac:dyDescent="0.25">
      <c r="A12479" s="5">
        <f>12471</f>
      </c>
      <c r="B12479" s="5" t="s">
        <v>11750</v>
      </c>
      <c r="C12479" s="5" t="s">
        <v>11</v>
      </c>
      <c r="D12479" s="5" t="s">
        <v>12</v>
      </c>
      <c r="E12479" s="5" t="s">
        <v>3774</v>
      </c>
    </row>
    <row r="12480" spans="1:5" x14ac:dyDescent="0.25">
      <c r="A12480" s="5">
        <f>12472</f>
      </c>
      <c r="B12480" s="5" t="s">
        <v>11751</v>
      </c>
      <c r="C12480" s="5" t="s">
        <v>11</v>
      </c>
      <c r="D12480" s="5" t="s">
        <v>12</v>
      </c>
      <c r="E12480" s="5" t="s">
        <v>3875</v>
      </c>
    </row>
    <row r="12481" spans="1:5" x14ac:dyDescent="0.25">
      <c r="A12481" s="5">
        <f>12473</f>
      </c>
      <c r="B12481" s="5" t="s">
        <v>11752</v>
      </c>
      <c r="C12481" s="5" t="s">
        <v>11</v>
      </c>
      <c r="D12481" s="5" t="s">
        <v>12</v>
      </c>
      <c r="E12481" s="5" t="s">
        <v>3545</v>
      </c>
    </row>
    <row r="12482" spans="1:5" x14ac:dyDescent="0.25">
      <c r="A12482" s="5">
        <f>12474</f>
      </c>
      <c r="B12482" s="5" t="s">
        <v>11753</v>
      </c>
      <c r="C12482" s="5" t="s">
        <v>11</v>
      </c>
      <c r="D12482" s="5" t="s">
        <v>12</v>
      </c>
      <c r="E12482" s="5" t="s">
        <v>3545</v>
      </c>
    </row>
    <row r="12483" spans="1:5" x14ac:dyDescent="0.25">
      <c r="A12483" s="5">
        <f>12475</f>
      </c>
      <c r="B12483" s="5" t="s">
        <v>11754</v>
      </c>
      <c r="C12483" s="5" t="s">
        <v>11</v>
      </c>
      <c r="D12483" s="5" t="s">
        <v>12</v>
      </c>
      <c r="E12483" s="5" t="s">
        <v>2316</v>
      </c>
    </row>
    <row r="12484" spans="1:5" x14ac:dyDescent="0.25">
      <c r="A12484" s="5">
        <f>12476</f>
      </c>
      <c r="B12484" s="5" t="s">
        <v>11755</v>
      </c>
      <c r="C12484" s="5" t="s">
        <v>11</v>
      </c>
      <c r="D12484" s="5" t="s">
        <v>12</v>
      </c>
      <c r="E12484" s="5" t="s">
        <v>2316</v>
      </c>
    </row>
    <row r="12485" spans="1:5" x14ac:dyDescent="0.25">
      <c r="A12485" s="5">
        <f>12477</f>
      </c>
      <c r="B12485" s="5" t="s">
        <v>11756</v>
      </c>
      <c r="C12485" s="5" t="s">
        <v>11</v>
      </c>
      <c r="D12485" s="5" t="s">
        <v>12</v>
      </c>
      <c r="E12485" s="5" t="s">
        <v>3382</v>
      </c>
    </row>
    <row r="12486" spans="1:5" x14ac:dyDescent="0.25">
      <c r="A12486" s="5">
        <f>12478</f>
      </c>
      <c r="B12486" s="5" t="s">
        <v>11757</v>
      </c>
      <c r="C12486" s="5" t="s">
        <v>11</v>
      </c>
      <c r="D12486" s="5" t="s">
        <v>12</v>
      </c>
      <c r="E12486" s="5" t="s">
        <v>720</v>
      </c>
    </row>
    <row r="12487" spans="1:5" x14ac:dyDescent="0.25">
      <c r="A12487" s="5">
        <f>12479</f>
      </c>
      <c r="B12487" s="5" t="s">
        <v>11758</v>
      </c>
      <c r="C12487" s="5" t="s">
        <v>11</v>
      </c>
      <c r="D12487" s="5" t="s">
        <v>12</v>
      </c>
      <c r="E12487" s="5" t="s">
        <v>2671</v>
      </c>
    </row>
    <row r="12488" spans="1:5" x14ac:dyDescent="0.25">
      <c r="A12488" s="5">
        <f>12480</f>
      </c>
      <c r="B12488" s="5" t="s">
        <v>11759</v>
      </c>
      <c r="C12488" s="5" t="s">
        <v>11</v>
      </c>
      <c r="D12488" s="5" t="s">
        <v>12</v>
      </c>
      <c r="E12488" s="5" t="s">
        <v>3879</v>
      </c>
    </row>
    <row r="12489" spans="1:5" x14ac:dyDescent="0.25">
      <c r="A12489" s="5">
        <f>12481</f>
      </c>
      <c r="B12489" s="5" t="s">
        <v>11760</v>
      </c>
      <c r="C12489" s="5" t="s">
        <v>11</v>
      </c>
      <c r="D12489" s="5" t="s">
        <v>12</v>
      </c>
      <c r="E12489" s="5" t="s">
        <v>2584</v>
      </c>
    </row>
    <row r="12490" spans="1:5" x14ac:dyDescent="0.25">
      <c r="A12490" s="5">
        <f>12482</f>
      </c>
      <c r="B12490" s="5" t="s">
        <v>11761</v>
      </c>
      <c r="C12490" s="5" t="s">
        <v>11</v>
      </c>
      <c r="D12490" s="5" t="s">
        <v>12</v>
      </c>
      <c r="E12490" s="5" t="s">
        <v>3958</v>
      </c>
    </row>
    <row r="12491" spans="1:5" x14ac:dyDescent="0.25">
      <c r="A12491" s="5">
        <f>12483</f>
      </c>
      <c r="B12491" s="5" t="s">
        <v>11762</v>
      </c>
      <c r="C12491" s="5" t="s">
        <v>11</v>
      </c>
      <c r="D12491" s="5" t="s">
        <v>12</v>
      </c>
      <c r="E12491" s="5" t="s">
        <v>2586</v>
      </c>
    </row>
    <row r="12492" spans="1:5" x14ac:dyDescent="0.25">
      <c r="A12492" s="5">
        <f>12484</f>
      </c>
      <c r="B12492" s="5" t="s">
        <v>11763</v>
      </c>
      <c r="C12492" s="5" t="s">
        <v>11</v>
      </c>
      <c r="D12492" s="5" t="s">
        <v>12</v>
      </c>
      <c r="E12492" s="5" t="s">
        <v>2610</v>
      </c>
    </row>
    <row r="12493" spans="1:5" x14ac:dyDescent="0.25">
      <c r="A12493" s="5">
        <f>12485</f>
      </c>
      <c r="B12493" s="5" t="s">
        <v>11764</v>
      </c>
      <c r="C12493" s="5" t="s">
        <v>11</v>
      </c>
      <c r="D12493" s="5" t="s">
        <v>12</v>
      </c>
      <c r="E12493" s="5" t="s">
        <v>2675</v>
      </c>
    </row>
    <row r="12494" spans="1:5" x14ac:dyDescent="0.25">
      <c r="A12494" s="5">
        <f>12486</f>
      </c>
      <c r="B12494" s="5" t="s">
        <v>11765</v>
      </c>
      <c r="C12494" s="5" t="s">
        <v>11</v>
      </c>
      <c r="D12494" s="5" t="s">
        <v>12</v>
      </c>
      <c r="E12494" s="5" t="s">
        <v>3382</v>
      </c>
    </row>
    <row r="12495" spans="1:5" x14ac:dyDescent="0.25">
      <c r="A12495" s="5">
        <f>12487</f>
      </c>
      <c r="B12495" s="5" t="s">
        <v>11766</v>
      </c>
      <c r="C12495" s="5" t="s">
        <v>11</v>
      </c>
      <c r="D12495" s="5" t="s">
        <v>12</v>
      </c>
      <c r="E12495" s="5" t="s">
        <v>2381</v>
      </c>
    </row>
    <row r="12496" spans="1:5" x14ac:dyDescent="0.25">
      <c r="A12496" s="5">
        <f>12488</f>
      </c>
      <c r="B12496" s="5" t="s">
        <v>11767</v>
      </c>
      <c r="C12496" s="5" t="s">
        <v>11</v>
      </c>
      <c r="D12496" s="5" t="s">
        <v>12</v>
      </c>
      <c r="E12496" s="5" t="s">
        <v>3626</v>
      </c>
    </row>
    <row r="12497" spans="1:5" x14ac:dyDescent="0.25">
      <c r="A12497" s="5">
        <f>12489</f>
      </c>
      <c r="B12497" s="5" t="s">
        <v>11768</v>
      </c>
      <c r="C12497" s="5" t="s">
        <v>11</v>
      </c>
      <c r="D12497" s="5" t="s">
        <v>12</v>
      </c>
      <c r="E12497" s="5" t="s">
        <v>2253</v>
      </c>
    </row>
    <row r="12498" spans="1:5" x14ac:dyDescent="0.25">
      <c r="A12498" s="5">
        <f>12490</f>
      </c>
      <c r="B12498" s="5" t="s">
        <v>11769</v>
      </c>
      <c r="C12498" s="5" t="s">
        <v>11</v>
      </c>
      <c r="D12498" s="5" t="s">
        <v>12</v>
      </c>
      <c r="E12498" s="5" t="s">
        <v>3583</v>
      </c>
    </row>
    <row r="12499" spans="1:5" x14ac:dyDescent="0.25">
      <c r="A12499" s="5">
        <f>12491</f>
      </c>
      <c r="B12499" s="5" t="s">
        <v>11770</v>
      </c>
      <c r="C12499" s="5" t="s">
        <v>11</v>
      </c>
      <c r="D12499" s="5" t="s">
        <v>12</v>
      </c>
      <c r="E12499" s="5" t="s">
        <v>775</v>
      </c>
    </row>
    <row r="12500" spans="1:5" x14ac:dyDescent="0.25">
      <c r="A12500" s="5">
        <f>12492</f>
      </c>
      <c r="B12500" s="5" t="s">
        <v>11771</v>
      </c>
      <c r="C12500" s="5" t="s">
        <v>11</v>
      </c>
      <c r="D12500" s="5" t="s">
        <v>12</v>
      </c>
      <c r="E12500" s="5" t="s">
        <v>3626</v>
      </c>
    </row>
    <row r="12501" spans="1:5" x14ac:dyDescent="0.25">
      <c r="A12501" s="5">
        <f>12493</f>
      </c>
      <c r="B12501" s="5" t="s">
        <v>11772</v>
      </c>
      <c r="C12501" s="5" t="s">
        <v>11</v>
      </c>
      <c r="D12501" s="5" t="s">
        <v>12</v>
      </c>
      <c r="E12501" s="5" t="s">
        <v>4066</v>
      </c>
    </row>
    <row r="12502" spans="1:5" x14ac:dyDescent="0.25">
      <c r="A12502" s="5">
        <f>12494</f>
      </c>
      <c r="B12502" s="5" t="s">
        <v>11773</v>
      </c>
      <c r="C12502" s="5" t="s">
        <v>11</v>
      </c>
      <c r="D12502" s="5" t="s">
        <v>12</v>
      </c>
      <c r="E12502" s="5" t="s">
        <v>2873</v>
      </c>
    </row>
    <row r="12503" spans="1:5" x14ac:dyDescent="0.25">
      <c r="A12503" s="5">
        <f>12495</f>
      </c>
      <c r="B12503" s="5" t="s">
        <v>11774</v>
      </c>
      <c r="C12503" s="5" t="s">
        <v>11</v>
      </c>
      <c r="D12503" s="5" t="s">
        <v>12</v>
      </c>
      <c r="E12503" s="5" t="s">
        <v>2826</v>
      </c>
    </row>
    <row r="12504" spans="1:5" x14ac:dyDescent="0.25">
      <c r="A12504" s="5">
        <f>12496</f>
      </c>
      <c r="B12504" s="5" t="s">
        <v>11775</v>
      </c>
      <c r="C12504" s="5" t="s">
        <v>11</v>
      </c>
      <c r="D12504" s="5" t="s">
        <v>12</v>
      </c>
      <c r="E12504" s="5" t="s">
        <v>3536</v>
      </c>
    </row>
    <row r="12505" spans="1:5" x14ac:dyDescent="0.25">
      <c r="A12505" s="5">
        <f>12497</f>
      </c>
      <c r="B12505" s="5" t="s">
        <v>11776</v>
      </c>
      <c r="C12505" s="5" t="s">
        <v>11</v>
      </c>
      <c r="D12505" s="5" t="s">
        <v>12</v>
      </c>
      <c r="E12505" s="5" t="s">
        <v>3561</v>
      </c>
    </row>
    <row r="12506" spans="1:5" x14ac:dyDescent="0.25">
      <c r="A12506" s="5">
        <f>12498</f>
      </c>
      <c r="B12506" s="5" t="s">
        <v>11777</v>
      </c>
      <c r="C12506" s="5" t="s">
        <v>11</v>
      </c>
      <c r="D12506" s="5" t="s">
        <v>12</v>
      </c>
      <c r="E12506" s="5" t="s">
        <v>927</v>
      </c>
    </row>
    <row r="12507" spans="1:5" x14ac:dyDescent="0.25">
      <c r="A12507" s="5">
        <f>12499</f>
      </c>
      <c r="B12507" s="5" t="s">
        <v>11778</v>
      </c>
      <c r="C12507" s="5" t="s">
        <v>11</v>
      </c>
      <c r="D12507" s="5" t="s">
        <v>12</v>
      </c>
      <c r="E12507" s="5" t="s">
        <v>3723</v>
      </c>
    </row>
    <row r="12508" spans="1:5" x14ac:dyDescent="0.25">
      <c r="A12508" s="5">
        <f>12500</f>
      </c>
      <c r="B12508" s="5" t="s">
        <v>11779</v>
      </c>
      <c r="C12508" s="5" t="s">
        <v>11</v>
      </c>
      <c r="D12508" s="5" t="s">
        <v>12</v>
      </c>
      <c r="E12508" s="5" t="s">
        <v>2386</v>
      </c>
    </row>
    <row r="12509" spans="1:5" x14ac:dyDescent="0.25">
      <c r="A12509" s="5">
        <f>12501</f>
      </c>
      <c r="B12509" s="5" t="s">
        <v>11780</v>
      </c>
      <c r="C12509" s="5" t="s">
        <v>11</v>
      </c>
      <c r="D12509" s="5" t="s">
        <v>12</v>
      </c>
      <c r="E12509" s="5" t="s">
        <v>2325</v>
      </c>
    </row>
    <row r="12510" spans="1:5" x14ac:dyDescent="0.25">
      <c r="A12510" s="5">
        <f>12502</f>
      </c>
      <c r="B12510" s="5" t="s">
        <v>11781</v>
      </c>
      <c r="C12510" s="5" t="s">
        <v>11</v>
      </c>
      <c r="D12510" s="5" t="s">
        <v>12</v>
      </c>
      <c r="E12510" s="5" t="s">
        <v>2592</v>
      </c>
    </row>
    <row r="12511" spans="1:5" x14ac:dyDescent="0.25">
      <c r="A12511" s="5">
        <f>12503</f>
      </c>
      <c r="B12511" s="5" t="s">
        <v>11782</v>
      </c>
      <c r="C12511" s="5" t="s">
        <v>11</v>
      </c>
      <c r="D12511" s="5" t="s">
        <v>12</v>
      </c>
      <c r="E12511" s="5" t="s">
        <v>2333</v>
      </c>
    </row>
    <row r="12512" spans="1:5" x14ac:dyDescent="0.25">
      <c r="A12512" s="5">
        <f>12504</f>
      </c>
      <c r="B12512" s="5" t="s">
        <v>11783</v>
      </c>
      <c r="C12512" s="5" t="s">
        <v>11</v>
      </c>
      <c r="D12512" s="5" t="s">
        <v>12</v>
      </c>
      <c r="E12512" s="5" t="s">
        <v>1020</v>
      </c>
    </row>
    <row r="12513" spans="1:5" x14ac:dyDescent="0.25">
      <c r="A12513" s="5">
        <f>12505</f>
      </c>
      <c r="B12513" s="5" t="s">
        <v>11784</v>
      </c>
      <c r="C12513" s="5" t="s">
        <v>11</v>
      </c>
      <c r="D12513" s="5" t="s">
        <v>12</v>
      </c>
      <c r="E12513" s="5" t="s">
        <v>2300</v>
      </c>
    </row>
    <row r="12514" spans="1:5" x14ac:dyDescent="0.25">
      <c r="A12514" s="5">
        <f>12506</f>
      </c>
      <c r="B12514" s="5" t="s">
        <v>11785</v>
      </c>
      <c r="C12514" s="5" t="s">
        <v>11</v>
      </c>
      <c r="D12514" s="5" t="s">
        <v>12</v>
      </c>
      <c r="E12514" s="5" t="s">
        <v>3626</v>
      </c>
    </row>
    <row r="12515" spans="1:5" x14ac:dyDescent="0.25">
      <c r="A12515" s="5">
        <f>12507</f>
      </c>
      <c r="B12515" s="5" t="s">
        <v>11786</v>
      </c>
      <c r="C12515" s="5" t="s">
        <v>11</v>
      </c>
      <c r="D12515" s="5" t="s">
        <v>12</v>
      </c>
      <c r="E12515" s="5" t="s">
        <v>828</v>
      </c>
    </row>
    <row r="12516" spans="1:5" x14ac:dyDescent="0.25">
      <c r="A12516" s="5">
        <f>12508</f>
      </c>
      <c r="B12516" s="5" t="s">
        <v>11787</v>
      </c>
      <c r="C12516" s="5" t="s">
        <v>11</v>
      </c>
      <c r="D12516" s="5" t="s">
        <v>12</v>
      </c>
      <c r="E12516" s="5" t="s">
        <v>10541</v>
      </c>
    </row>
    <row r="12517" spans="1:5" x14ac:dyDescent="0.25">
      <c r="A12517" s="5">
        <f>12509</f>
      </c>
      <c r="B12517" s="5" t="s">
        <v>11788</v>
      </c>
      <c r="C12517" s="5" t="s">
        <v>11</v>
      </c>
      <c r="D12517" s="5" t="s">
        <v>12</v>
      </c>
      <c r="E12517" s="5" t="s">
        <v>2619</v>
      </c>
    </row>
    <row r="12518" spans="1:5" x14ac:dyDescent="0.25">
      <c r="A12518" s="5">
        <f>12510</f>
      </c>
      <c r="B12518" s="5" t="s">
        <v>11789</v>
      </c>
      <c r="C12518" s="5" t="s">
        <v>11</v>
      </c>
      <c r="D12518" s="5" t="s">
        <v>12</v>
      </c>
      <c r="E12518" s="5" t="s">
        <v>963</v>
      </c>
    </row>
    <row r="12519" spans="1:5" x14ac:dyDescent="0.25">
      <c r="A12519" s="5">
        <f>12511</f>
      </c>
      <c r="B12519" s="5" t="s">
        <v>11790</v>
      </c>
      <c r="C12519" s="5" t="s">
        <v>11</v>
      </c>
      <c r="D12519" s="5" t="s">
        <v>12</v>
      </c>
      <c r="E12519" s="5" t="s">
        <v>2876</v>
      </c>
    </row>
    <row r="12520" spans="1:5" x14ac:dyDescent="0.25">
      <c r="A12520" s="5">
        <f>12512</f>
      </c>
      <c r="B12520" s="5" t="s">
        <v>11791</v>
      </c>
      <c r="C12520" s="5" t="s">
        <v>11</v>
      </c>
      <c r="D12520" s="5" t="s">
        <v>12</v>
      </c>
      <c r="E12520" s="5" t="s">
        <v>954</v>
      </c>
    </row>
    <row r="12521" spans="1:5" x14ac:dyDescent="0.25">
      <c r="A12521" s="5">
        <f>12513</f>
      </c>
      <c r="B12521" s="5" t="s">
        <v>11792</v>
      </c>
      <c r="C12521" s="5" t="s">
        <v>11</v>
      </c>
      <c r="D12521" s="5" t="s">
        <v>12</v>
      </c>
      <c r="E12521" s="5" t="s">
        <v>3891</v>
      </c>
    </row>
    <row r="12522" spans="1:5" x14ac:dyDescent="0.25">
      <c r="A12522" s="5">
        <f>12514</f>
      </c>
      <c r="B12522" s="5" t="s">
        <v>11793</v>
      </c>
      <c r="C12522" s="5" t="s">
        <v>11</v>
      </c>
      <c r="D12522" s="5" t="s">
        <v>12</v>
      </c>
      <c r="E12522" s="5" t="s">
        <v>2304</v>
      </c>
    </row>
    <row r="12523" spans="1:5" x14ac:dyDescent="0.25">
      <c r="A12523" s="5">
        <f>12515</f>
      </c>
      <c r="B12523" s="5" t="s">
        <v>11794</v>
      </c>
      <c r="C12523" s="5" t="s">
        <v>11</v>
      </c>
      <c r="D12523" s="5" t="s">
        <v>12</v>
      </c>
      <c r="E12523" s="5" t="s">
        <v>3430</v>
      </c>
    </row>
    <row r="12524" spans="1:5" x14ac:dyDescent="0.25">
      <c r="A12524" s="5">
        <f>12516</f>
      </c>
      <c r="B12524" s="5" t="s">
        <v>11795</v>
      </c>
      <c r="C12524" s="5" t="s">
        <v>11</v>
      </c>
      <c r="D12524" s="5" t="s">
        <v>12</v>
      </c>
      <c r="E12524" s="5" t="s">
        <v>3367</v>
      </c>
    </row>
    <row r="12525" spans="1:5" x14ac:dyDescent="0.25">
      <c r="A12525" s="5">
        <f>12517</f>
      </c>
      <c r="B12525" s="5" t="s">
        <v>11796</v>
      </c>
      <c r="C12525" s="5" t="s">
        <v>11</v>
      </c>
      <c r="D12525" s="5" t="s">
        <v>12</v>
      </c>
      <c r="E12525" s="5" t="s">
        <v>3367</v>
      </c>
    </row>
    <row r="12526" spans="1:5" x14ac:dyDescent="0.25">
      <c r="A12526" s="5">
        <f>12518</f>
      </c>
      <c r="B12526" s="5" t="s">
        <v>11797</v>
      </c>
      <c r="C12526" s="5" t="s">
        <v>11</v>
      </c>
      <c r="D12526" s="5" t="s">
        <v>12</v>
      </c>
      <c r="E12526" s="5" t="s">
        <v>2309</v>
      </c>
    </row>
    <row r="12527" spans="1:5" x14ac:dyDescent="0.25">
      <c r="A12527" s="5">
        <f>12519</f>
      </c>
      <c r="B12527" s="5" t="s">
        <v>11798</v>
      </c>
      <c r="C12527" s="5" t="s">
        <v>11</v>
      </c>
      <c r="D12527" s="5" t="s">
        <v>12</v>
      </c>
      <c r="E12527" s="5" t="s">
        <v>3549</v>
      </c>
    </row>
    <row r="12528" spans="1:5" x14ac:dyDescent="0.25">
      <c r="A12528" s="5">
        <f>12520</f>
      </c>
      <c r="B12528" s="5" t="s">
        <v>11799</v>
      </c>
      <c r="C12528" s="5" t="s">
        <v>11</v>
      </c>
      <c r="D12528" s="5" t="s">
        <v>12</v>
      </c>
      <c r="E12528" s="5" t="s">
        <v>3430</v>
      </c>
    </row>
    <row r="12529" spans="1:5" x14ac:dyDescent="0.25">
      <c r="A12529" s="5">
        <f>12521</f>
      </c>
      <c r="B12529" s="5" t="s">
        <v>11800</v>
      </c>
      <c r="C12529" s="5" t="s">
        <v>11</v>
      </c>
      <c r="D12529" s="5" t="s">
        <v>12</v>
      </c>
      <c r="E12529" s="5" t="s">
        <v>10683</v>
      </c>
    </row>
    <row r="12530" spans="1:5" x14ac:dyDescent="0.25">
      <c r="A12530" s="5">
        <f>12522</f>
      </c>
      <c r="B12530" s="5" t="s">
        <v>11801</v>
      </c>
      <c r="C12530" s="5" t="s">
        <v>11</v>
      </c>
      <c r="D12530" s="5" t="s">
        <v>12</v>
      </c>
      <c r="E12530" s="5" t="s">
        <v>4289</v>
      </c>
    </row>
    <row r="12531" spans="1:5" x14ac:dyDescent="0.25">
      <c r="A12531" s="5">
        <f>12523</f>
      </c>
      <c r="B12531" s="5" t="s">
        <v>11802</v>
      </c>
      <c r="C12531" s="5" t="s">
        <v>11</v>
      </c>
      <c r="D12531" s="5" t="s">
        <v>12</v>
      </c>
      <c r="E12531" s="5" t="s">
        <v>996</v>
      </c>
    </row>
    <row r="12532" spans="1:5" x14ac:dyDescent="0.25">
      <c r="A12532" s="5">
        <f>12524</f>
      </c>
      <c r="B12532" s="5" t="s">
        <v>11803</v>
      </c>
      <c r="C12532" s="5" t="s">
        <v>11</v>
      </c>
      <c r="D12532" s="5" t="s">
        <v>12</v>
      </c>
      <c r="E12532" s="5" t="s">
        <v>2290</v>
      </c>
    </row>
    <row r="12533" spans="1:5" x14ac:dyDescent="0.25">
      <c r="A12533" s="5">
        <f>12525</f>
      </c>
      <c r="B12533" s="5" t="s">
        <v>11804</v>
      </c>
      <c r="C12533" s="5" t="s">
        <v>11</v>
      </c>
      <c r="D12533" s="5" t="s">
        <v>12</v>
      </c>
      <c r="E12533" s="5" t="s">
        <v>3589</v>
      </c>
    </row>
    <row r="12534" spans="1:5" x14ac:dyDescent="0.25">
      <c r="A12534" s="5">
        <f>12526</f>
      </c>
      <c r="B12534" s="5" t="s">
        <v>11805</v>
      </c>
      <c r="C12534" s="5" t="s">
        <v>11</v>
      </c>
      <c r="D12534" s="5" t="s">
        <v>12</v>
      </c>
      <c r="E12534" s="5" t="s">
        <v>1053</v>
      </c>
    </row>
    <row r="12535" spans="1:5" x14ac:dyDescent="0.25">
      <c r="A12535" s="5">
        <f>12527</f>
      </c>
      <c r="B12535" s="5" t="s">
        <v>11806</v>
      </c>
      <c r="C12535" s="5" t="s">
        <v>11</v>
      </c>
      <c r="D12535" s="5" t="s">
        <v>12</v>
      </c>
      <c r="E12535" s="5" t="s">
        <v>1040</v>
      </c>
    </row>
    <row r="12536" spans="1:5" x14ac:dyDescent="0.25">
      <c r="A12536" s="5">
        <f>12528</f>
      </c>
      <c r="B12536" s="5" t="s">
        <v>11807</v>
      </c>
      <c r="C12536" s="5" t="s">
        <v>11</v>
      </c>
      <c r="D12536" s="5" t="s">
        <v>12</v>
      </c>
      <c r="E12536" s="5" t="s">
        <v>2251</v>
      </c>
    </row>
    <row r="12537" spans="1:5" x14ac:dyDescent="0.25">
      <c r="A12537" s="5">
        <f>12529</f>
      </c>
      <c r="B12537" s="5" t="s">
        <v>11808</v>
      </c>
      <c r="C12537" s="5" t="s">
        <v>11</v>
      </c>
      <c r="D12537" s="5" t="s">
        <v>12</v>
      </c>
      <c r="E12537" s="5" t="s">
        <v>2626</v>
      </c>
    </row>
    <row r="12538" spans="1:5" x14ac:dyDescent="0.25">
      <c r="A12538" s="5">
        <f>12530</f>
      </c>
      <c r="B12538" s="5" t="s">
        <v>11809</v>
      </c>
      <c r="C12538" s="5" t="s">
        <v>11</v>
      </c>
      <c r="D12538" s="5" t="s">
        <v>12</v>
      </c>
      <c r="E12538" s="5" t="s">
        <v>10705</v>
      </c>
    </row>
    <row r="12539" spans="1:5" x14ac:dyDescent="0.25">
      <c r="A12539" s="5">
        <f>12531</f>
      </c>
      <c r="B12539" s="5" t="s">
        <v>11810</v>
      </c>
      <c r="C12539" s="5" t="s">
        <v>11</v>
      </c>
      <c r="D12539" s="5" t="s">
        <v>12</v>
      </c>
      <c r="E12539" s="5" t="s">
        <v>3860</v>
      </c>
    </row>
    <row r="12540" spans="1:5" x14ac:dyDescent="0.25">
      <c r="A12540" s="5">
        <f>12532</f>
      </c>
      <c r="B12540" s="5" t="s">
        <v>11811</v>
      </c>
      <c r="C12540" s="5" t="s">
        <v>11</v>
      </c>
      <c r="D12540" s="5" t="s">
        <v>12</v>
      </c>
      <c r="E12540" s="5" t="s">
        <v>3571</v>
      </c>
    </row>
    <row r="12541" spans="1:5" x14ac:dyDescent="0.25">
      <c r="A12541" s="5">
        <f>12533</f>
      </c>
      <c r="B12541" s="5" t="s">
        <v>11812</v>
      </c>
      <c r="C12541" s="5" t="s">
        <v>11</v>
      </c>
      <c r="D12541" s="5" t="s">
        <v>12</v>
      </c>
      <c r="E12541" s="5" t="s">
        <v>10705</v>
      </c>
    </row>
    <row r="12542" spans="1:5" x14ac:dyDescent="0.25">
      <c r="A12542" s="5">
        <f>12534</f>
      </c>
      <c r="B12542" s="5" t="s">
        <v>11813</v>
      </c>
      <c r="C12542" s="5" t="s">
        <v>11</v>
      </c>
      <c r="D12542" s="5" t="s">
        <v>12</v>
      </c>
      <c r="E12542" s="5" t="s">
        <v>3860</v>
      </c>
    </row>
    <row r="12543" spans="1:5" x14ac:dyDescent="0.25">
      <c r="A12543" s="5">
        <f>12535</f>
      </c>
      <c r="B12543" s="5" t="s">
        <v>11814</v>
      </c>
      <c r="C12543" s="5" t="s">
        <v>11</v>
      </c>
      <c r="D12543" s="5" t="s">
        <v>12</v>
      </c>
      <c r="E12543" s="5" t="s">
        <v>3761</v>
      </c>
    </row>
    <row r="12544" spans="1:5" x14ac:dyDescent="0.25">
      <c r="A12544" s="5">
        <f>12536</f>
      </c>
      <c r="B12544" s="5" t="s">
        <v>11815</v>
      </c>
      <c r="C12544" s="5" t="s">
        <v>11</v>
      </c>
      <c r="D12544" s="5" t="s">
        <v>12</v>
      </c>
      <c r="E12544" s="5" t="s">
        <v>3543</v>
      </c>
    </row>
    <row r="12545" spans="1:5" x14ac:dyDescent="0.25">
      <c r="A12545" s="5">
        <f>12537</f>
      </c>
      <c r="B12545" s="5" t="s">
        <v>11816</v>
      </c>
      <c r="C12545" s="5" t="s">
        <v>11</v>
      </c>
      <c r="D12545" s="5" t="s">
        <v>12</v>
      </c>
      <c r="E12545" s="5" t="s">
        <v>2257</v>
      </c>
    </row>
    <row r="12546" spans="1:5" x14ac:dyDescent="0.25">
      <c r="A12546" s="5">
        <f>12538</f>
      </c>
      <c r="B12546" s="5" t="s">
        <v>11817</v>
      </c>
      <c r="C12546" s="5" t="s">
        <v>11</v>
      </c>
      <c r="D12546" s="5" t="s">
        <v>12</v>
      </c>
      <c r="E12546" s="5" t="s">
        <v>11414</v>
      </c>
    </row>
    <row r="12547" spans="1:5" x14ac:dyDescent="0.25">
      <c r="A12547" s="5">
        <f>12539</f>
      </c>
      <c r="B12547" s="5" t="s">
        <v>11818</v>
      </c>
      <c r="C12547" s="5" t="s">
        <v>11</v>
      </c>
      <c r="D12547" s="5" t="s">
        <v>12</v>
      </c>
      <c r="E12547" s="5" t="s">
        <v>2300</v>
      </c>
    </row>
    <row r="12548" spans="1:5" x14ac:dyDescent="0.25">
      <c r="A12548" s="5">
        <f>12540</f>
      </c>
      <c r="B12548" s="5" t="s">
        <v>11819</v>
      </c>
      <c r="C12548" s="5" t="s">
        <v>11</v>
      </c>
      <c r="D12548" s="5" t="s">
        <v>12</v>
      </c>
      <c r="E12548" s="5" t="s">
        <v>3754</v>
      </c>
    </row>
    <row r="12549" spans="1:5" x14ac:dyDescent="0.25">
      <c r="A12549" s="5">
        <f>12541</f>
      </c>
      <c r="B12549" s="5" t="s">
        <v>11820</v>
      </c>
      <c r="C12549" s="5" t="s">
        <v>11</v>
      </c>
      <c r="D12549" s="5" t="s">
        <v>12</v>
      </c>
      <c r="E12549" s="5" t="s">
        <v>1045</v>
      </c>
    </row>
    <row r="12550" spans="1:5" x14ac:dyDescent="0.25">
      <c r="A12550" s="5">
        <f>12542</f>
      </c>
      <c r="B12550" s="5" t="s">
        <v>11821</v>
      </c>
      <c r="C12550" s="5" t="s">
        <v>11</v>
      </c>
      <c r="D12550" s="5" t="s">
        <v>12</v>
      </c>
      <c r="E12550" s="5" t="s">
        <v>2322</v>
      </c>
    </row>
    <row r="12551" spans="1:5" x14ac:dyDescent="0.25">
      <c r="A12551" s="5">
        <f>12543</f>
      </c>
      <c r="B12551" s="5" t="s">
        <v>11822</v>
      </c>
      <c r="C12551" s="5" t="s">
        <v>11</v>
      </c>
      <c r="D12551" s="5" t="s">
        <v>12</v>
      </c>
      <c r="E12551" s="5" t="s">
        <v>2255</v>
      </c>
    </row>
    <row r="12552" spans="1:5" x14ac:dyDescent="0.25">
      <c r="A12552" s="5">
        <f>12544</f>
      </c>
      <c r="B12552" s="5" t="s">
        <v>11823</v>
      </c>
      <c r="C12552" s="5" t="s">
        <v>11</v>
      </c>
      <c r="D12552" s="5" t="s">
        <v>12</v>
      </c>
      <c r="E12552" s="5" t="s">
        <v>2634</v>
      </c>
    </row>
    <row r="12553" spans="1:5" x14ac:dyDescent="0.25">
      <c r="A12553" s="5">
        <f>12545</f>
      </c>
      <c r="B12553" s="5" t="s">
        <v>11824</v>
      </c>
      <c r="C12553" s="5" t="s">
        <v>11</v>
      </c>
      <c r="D12553" s="5" t="s">
        <v>12</v>
      </c>
      <c r="E12553" s="5" t="s">
        <v>3759</v>
      </c>
    </row>
    <row r="12554" spans="1:5" x14ac:dyDescent="0.25">
      <c r="A12554" s="5">
        <f>12546</f>
      </c>
      <c r="B12554" s="5" t="s">
        <v>11825</v>
      </c>
      <c r="C12554" s="5" t="s">
        <v>11</v>
      </c>
      <c r="D12554" s="5" t="s">
        <v>12</v>
      </c>
      <c r="E12554" s="5" t="s">
        <v>2343</v>
      </c>
    </row>
    <row r="12555" spans="1:5" x14ac:dyDescent="0.25">
      <c r="A12555" s="5">
        <f>12547</f>
      </c>
      <c r="B12555" s="5" t="s">
        <v>11826</v>
      </c>
      <c r="C12555" s="5" t="s">
        <v>11</v>
      </c>
      <c r="D12555" s="5" t="s">
        <v>12</v>
      </c>
      <c r="E12555" s="5" t="s">
        <v>2641</v>
      </c>
    </row>
    <row r="12556" spans="1:5" x14ac:dyDescent="0.25">
      <c r="A12556" s="5">
        <f>12548</f>
      </c>
      <c r="B12556" s="5" t="s">
        <v>11827</v>
      </c>
      <c r="C12556" s="5" t="s">
        <v>11</v>
      </c>
      <c r="D12556" s="5" t="s">
        <v>12</v>
      </c>
      <c r="E12556" s="5" t="s">
        <v>3559</v>
      </c>
    </row>
    <row r="12557" spans="1:5" x14ac:dyDescent="0.25">
      <c r="A12557" s="5">
        <f>12549</f>
      </c>
      <c r="B12557" s="5" t="s">
        <v>11828</v>
      </c>
      <c r="C12557" s="5" t="s">
        <v>11</v>
      </c>
      <c r="D12557" s="5" t="s">
        <v>12</v>
      </c>
      <c r="E12557" s="5" t="s">
        <v>2596</v>
      </c>
    </row>
    <row r="12558" spans="1:5" x14ac:dyDescent="0.25">
      <c r="A12558" s="5">
        <f>12550</f>
      </c>
      <c r="B12558" s="5" t="s">
        <v>11829</v>
      </c>
      <c r="C12558" s="5" t="s">
        <v>11</v>
      </c>
      <c r="D12558" s="5" t="s">
        <v>12</v>
      </c>
      <c r="E12558" s="5" t="s">
        <v>3767</v>
      </c>
    </row>
    <row r="12559" spans="1:5" x14ac:dyDescent="0.25">
      <c r="A12559" s="5">
        <f>12551</f>
      </c>
      <c r="B12559" s="5" t="s">
        <v>11830</v>
      </c>
      <c r="C12559" s="5" t="s">
        <v>11</v>
      </c>
      <c r="D12559" s="5" t="s">
        <v>12</v>
      </c>
      <c r="E12559" s="5" t="s">
        <v>3516</v>
      </c>
    </row>
    <row r="12560" spans="1:5" x14ac:dyDescent="0.25">
      <c r="A12560" s="5">
        <f>12552</f>
      </c>
      <c r="B12560" s="5" t="s">
        <v>11831</v>
      </c>
      <c r="C12560" s="5" t="s">
        <v>11</v>
      </c>
      <c r="D12560" s="5" t="s">
        <v>12</v>
      </c>
      <c r="E12560" s="5" t="s">
        <v>2285</v>
      </c>
    </row>
    <row r="12561" spans="1:5" x14ac:dyDescent="0.25">
      <c r="A12561" s="5">
        <f>12553</f>
      </c>
      <c r="B12561" s="5" t="s">
        <v>11832</v>
      </c>
      <c r="C12561" s="5" t="s">
        <v>11</v>
      </c>
      <c r="D12561" s="5" t="s">
        <v>12</v>
      </c>
      <c r="E12561" s="5" t="s">
        <v>1034</v>
      </c>
    </row>
    <row r="12562" spans="1:5" x14ac:dyDescent="0.25">
      <c r="A12562" s="5">
        <f>12554</f>
      </c>
      <c r="B12562" s="5" t="s">
        <v>11833</v>
      </c>
      <c r="C12562" s="5" t="s">
        <v>11</v>
      </c>
      <c r="D12562" s="5" t="s">
        <v>12</v>
      </c>
      <c r="E12562" s="5" t="s">
        <v>869</v>
      </c>
    </row>
    <row r="12563" spans="1:5" x14ac:dyDescent="0.25">
      <c r="A12563" s="5">
        <f>12555</f>
      </c>
      <c r="B12563" s="5" t="s">
        <v>11834</v>
      </c>
      <c r="C12563" s="5" t="s">
        <v>11</v>
      </c>
      <c r="D12563" s="5" t="s">
        <v>12</v>
      </c>
      <c r="E12563" s="5" t="s">
        <v>3530</v>
      </c>
    </row>
    <row r="12564" spans="1:5" x14ac:dyDescent="0.25">
      <c r="A12564" s="5">
        <f>12556</f>
      </c>
      <c r="B12564" s="5" t="s">
        <v>11835</v>
      </c>
      <c r="C12564" s="5" t="s">
        <v>11</v>
      </c>
      <c r="D12564" s="5" t="s">
        <v>12</v>
      </c>
      <c r="E12564" s="5" t="s">
        <v>924</v>
      </c>
    </row>
    <row r="12565" spans="1:5" x14ac:dyDescent="0.25">
      <c r="A12565" s="5">
        <f>12557</f>
      </c>
      <c r="B12565" s="5" t="s">
        <v>11836</v>
      </c>
      <c r="C12565" s="5" t="s">
        <v>11</v>
      </c>
      <c r="D12565" s="5" t="s">
        <v>12</v>
      </c>
      <c r="E12565" s="5" t="s">
        <v>840</v>
      </c>
    </row>
    <row r="12566" spans="1:5" x14ac:dyDescent="0.25">
      <c r="A12566" s="5">
        <f>12558</f>
      </c>
      <c r="B12566" s="5" t="s">
        <v>11837</v>
      </c>
      <c r="C12566" s="5" t="s">
        <v>11</v>
      </c>
      <c r="D12566" s="5" t="s">
        <v>12</v>
      </c>
      <c r="E12566" s="5" t="s">
        <v>10680</v>
      </c>
    </row>
    <row r="12567" spans="1:5" x14ac:dyDescent="0.25">
      <c r="A12567" s="5">
        <f>12559</f>
      </c>
      <c r="B12567" s="5" t="s">
        <v>11838</v>
      </c>
      <c r="C12567" s="5" t="s">
        <v>11</v>
      </c>
      <c r="D12567" s="5" t="s">
        <v>12</v>
      </c>
      <c r="E12567" s="5" t="s">
        <v>975</v>
      </c>
    </row>
    <row r="12568" spans="1:5" x14ac:dyDescent="0.25">
      <c r="A12568" s="5">
        <f>12560</f>
      </c>
      <c r="B12568" s="5" t="s">
        <v>11839</v>
      </c>
      <c r="C12568" s="5" t="s">
        <v>11</v>
      </c>
      <c r="D12568" s="5" t="s">
        <v>12</v>
      </c>
      <c r="E12568" s="5" t="s">
        <v>3955</v>
      </c>
    </row>
    <row r="12569" spans="1:5" x14ac:dyDescent="0.25">
      <c r="A12569" s="5">
        <f>12561</f>
      </c>
      <c r="B12569" s="5" t="s">
        <v>11840</v>
      </c>
      <c r="C12569" s="5" t="s">
        <v>11</v>
      </c>
      <c r="D12569" s="5" t="s">
        <v>12</v>
      </c>
      <c r="E12569" s="5" t="s">
        <v>3425</v>
      </c>
    </row>
    <row r="12570" spans="1:5" x14ac:dyDescent="0.25">
      <c r="A12570" s="5">
        <f>12562</f>
      </c>
      <c r="B12570" s="5" t="s">
        <v>11841</v>
      </c>
      <c r="C12570" s="5" t="s">
        <v>11</v>
      </c>
      <c r="D12570" s="5" t="s">
        <v>12</v>
      </c>
      <c r="E12570" s="5" t="s">
        <v>734</v>
      </c>
    </row>
    <row r="12571" spans="1:5" x14ac:dyDescent="0.25">
      <c r="A12571" s="5">
        <f>12563</f>
      </c>
      <c r="B12571" s="5" t="s">
        <v>11842</v>
      </c>
      <c r="C12571" s="5" t="s">
        <v>11</v>
      </c>
      <c r="D12571" s="5" t="s">
        <v>12</v>
      </c>
      <c r="E12571" s="5" t="s">
        <v>2338</v>
      </c>
    </row>
    <row r="12572" spans="1:5" x14ac:dyDescent="0.25">
      <c r="A12572" s="5">
        <f>12564</f>
      </c>
      <c r="B12572" s="5" t="s">
        <v>11843</v>
      </c>
      <c r="C12572" s="5" t="s">
        <v>11</v>
      </c>
      <c r="D12572" s="5" t="s">
        <v>12</v>
      </c>
      <c r="E12572" s="5" t="s">
        <v>1074</v>
      </c>
    </row>
    <row r="12573" spans="1:5" x14ac:dyDescent="0.25">
      <c r="A12573" s="5">
        <f>12565</f>
      </c>
      <c r="B12573" s="5" t="s">
        <v>11844</v>
      </c>
      <c r="C12573" s="5" t="s">
        <v>11</v>
      </c>
      <c r="D12573" s="5" t="s">
        <v>12</v>
      </c>
      <c r="E12573" s="5" t="s">
        <v>3533</v>
      </c>
    </row>
    <row r="12574" spans="1:5" x14ac:dyDescent="0.25">
      <c r="A12574" s="5">
        <f>12566</f>
      </c>
      <c r="B12574" s="5" t="s">
        <v>11845</v>
      </c>
      <c r="C12574" s="5" t="s">
        <v>11</v>
      </c>
      <c r="D12574" s="5" t="s">
        <v>12</v>
      </c>
      <c r="E12574" s="5" t="s">
        <v>2619</v>
      </c>
    </row>
    <row r="12575" spans="1:5" x14ac:dyDescent="0.25">
      <c r="A12575" s="5">
        <f>12567</f>
      </c>
      <c r="B12575" s="5" t="s">
        <v>11846</v>
      </c>
      <c r="C12575" s="5" t="s">
        <v>11</v>
      </c>
      <c r="D12575" s="5" t="s">
        <v>12</v>
      </c>
      <c r="E12575" s="5" t="s">
        <v>2626</v>
      </c>
    </row>
    <row r="12576" spans="1:5" x14ac:dyDescent="0.25">
      <c r="A12576" s="5">
        <f>12568</f>
      </c>
      <c r="B12576" s="5" t="s">
        <v>11847</v>
      </c>
      <c r="C12576" s="5" t="s">
        <v>11</v>
      </c>
      <c r="D12576" s="5" t="s">
        <v>12</v>
      </c>
      <c r="E12576" s="5" t="s">
        <v>2596</v>
      </c>
    </row>
    <row r="12577" spans="1:5" x14ac:dyDescent="0.25">
      <c r="A12577" s="5">
        <f>12569</f>
      </c>
      <c r="B12577" s="5" t="s">
        <v>11848</v>
      </c>
      <c r="C12577" s="5" t="s">
        <v>11</v>
      </c>
      <c r="D12577" s="5" t="s">
        <v>12</v>
      </c>
      <c r="E12577" s="5" t="s">
        <v>11475</v>
      </c>
    </row>
    <row r="12578" spans="1:5" x14ac:dyDescent="0.25">
      <c r="A12578" s="5">
        <f>12570</f>
      </c>
      <c r="B12578" s="5" t="s">
        <v>11849</v>
      </c>
      <c r="C12578" s="5" t="s">
        <v>11</v>
      </c>
      <c r="D12578" s="5" t="s">
        <v>12</v>
      </c>
      <c r="E12578" s="5" t="s">
        <v>728</v>
      </c>
    </row>
    <row r="12579" spans="1:5" x14ac:dyDescent="0.25">
      <c r="A12579" s="5">
        <f>12571</f>
      </c>
      <c r="B12579" s="5" t="s">
        <v>11850</v>
      </c>
      <c r="C12579" s="5" t="s">
        <v>11</v>
      </c>
      <c r="D12579" s="5" t="s">
        <v>12</v>
      </c>
      <c r="E12579" s="5" t="s">
        <v>2290</v>
      </c>
    </row>
    <row r="12580" spans="1:5" x14ac:dyDescent="0.25">
      <c r="A12580" s="5">
        <f>12572</f>
      </c>
      <c r="B12580" s="5" t="s">
        <v>11851</v>
      </c>
      <c r="C12580" s="5" t="s">
        <v>11</v>
      </c>
      <c r="D12580" s="5" t="s">
        <v>12</v>
      </c>
      <c r="E12580" s="5" t="s">
        <v>2285</v>
      </c>
    </row>
    <row r="12581" spans="1:5" x14ac:dyDescent="0.25">
      <c r="A12581" s="5">
        <f>12573</f>
      </c>
      <c r="B12581" s="5" t="s">
        <v>11852</v>
      </c>
      <c r="C12581" s="5" t="s">
        <v>11</v>
      </c>
      <c r="D12581" s="5" t="s">
        <v>12</v>
      </c>
      <c r="E12581" s="5" t="s">
        <v>9553</v>
      </c>
    </row>
    <row r="12582" spans="1:5" x14ac:dyDescent="0.25">
      <c r="A12582" s="5">
        <f>12574</f>
      </c>
      <c r="B12582" s="5" t="s">
        <v>11853</v>
      </c>
      <c r="C12582" s="5" t="s">
        <v>11</v>
      </c>
      <c r="D12582" s="5" t="s">
        <v>12</v>
      </c>
      <c r="E12582" s="5" t="s">
        <v>2333</v>
      </c>
    </row>
    <row r="12583" spans="1:5" x14ac:dyDescent="0.25">
      <c r="A12583" s="5">
        <f>12575</f>
      </c>
      <c r="B12583" s="5" t="s">
        <v>11854</v>
      </c>
      <c r="C12583" s="5" t="s">
        <v>11</v>
      </c>
      <c r="D12583" s="5" t="s">
        <v>12</v>
      </c>
      <c r="E12583" s="5" t="s">
        <v>2285</v>
      </c>
    </row>
    <row r="12584" spans="1:5" x14ac:dyDescent="0.25">
      <c r="A12584" s="5">
        <f>12576</f>
      </c>
      <c r="B12584" s="5" t="s">
        <v>11855</v>
      </c>
      <c r="C12584" s="5" t="s">
        <v>11</v>
      </c>
      <c r="D12584" s="5" t="s">
        <v>12</v>
      </c>
      <c r="E12584" s="5" t="s">
        <v>2247</v>
      </c>
    </row>
    <row r="12585" spans="1:5" x14ac:dyDescent="0.25">
      <c r="A12585" s="5">
        <f>12577</f>
      </c>
      <c r="B12585" s="5" t="s">
        <v>11856</v>
      </c>
      <c r="C12585" s="5" t="s">
        <v>11</v>
      </c>
      <c r="D12585" s="5" t="s">
        <v>12</v>
      </c>
      <c r="E12585" s="5" t="s">
        <v>10618</v>
      </c>
    </row>
    <row r="12586" spans="1:5" x14ac:dyDescent="0.25">
      <c r="A12586" s="5">
        <f>12578</f>
      </c>
      <c r="B12586" s="5" t="s">
        <v>11857</v>
      </c>
      <c r="C12586" s="5" t="s">
        <v>11</v>
      </c>
      <c r="D12586" s="5" t="s">
        <v>12</v>
      </c>
      <c r="E12586" s="5" t="s">
        <v>10705</v>
      </c>
    </row>
    <row r="12587" spans="1:5" x14ac:dyDescent="0.25">
      <c r="A12587" s="5">
        <f>12579</f>
      </c>
      <c r="B12587" s="5" t="s">
        <v>11858</v>
      </c>
      <c r="C12587" s="5" t="s">
        <v>11</v>
      </c>
      <c r="D12587" s="5" t="s">
        <v>12</v>
      </c>
      <c r="E12587" s="5" t="s">
        <v>879</v>
      </c>
    </row>
    <row r="12588" spans="1:5" x14ac:dyDescent="0.25">
      <c r="A12588" s="5">
        <f>12580</f>
      </c>
      <c r="B12588" s="5" t="s">
        <v>11859</v>
      </c>
      <c r="C12588" s="5" t="s">
        <v>11</v>
      </c>
      <c r="D12588" s="5" t="s">
        <v>12</v>
      </c>
      <c r="E12588" s="5" t="s">
        <v>9518</v>
      </c>
    </row>
    <row r="12589" spans="1:5" x14ac:dyDescent="0.25">
      <c r="A12589" s="5">
        <f>12581</f>
      </c>
      <c r="B12589" s="5" t="s">
        <v>11860</v>
      </c>
      <c r="C12589" s="5" t="s">
        <v>11</v>
      </c>
      <c r="D12589" s="5" t="s">
        <v>12</v>
      </c>
      <c r="E12589" s="5" t="s">
        <v>775</v>
      </c>
    </row>
    <row r="12590" spans="1:5" x14ac:dyDescent="0.25">
      <c r="A12590" s="5">
        <f>12582</f>
      </c>
      <c r="B12590" s="5" t="s">
        <v>11861</v>
      </c>
      <c r="C12590" s="5" t="s">
        <v>11</v>
      </c>
      <c r="D12590" s="5" t="s">
        <v>12</v>
      </c>
      <c r="E12590" s="5" t="s">
        <v>2293</v>
      </c>
    </row>
    <row r="12591" spans="1:5" x14ac:dyDescent="0.25">
      <c r="A12591" s="5">
        <f>12583</f>
      </c>
      <c r="B12591" s="5" t="s">
        <v>11862</v>
      </c>
      <c r="C12591" s="5" t="s">
        <v>11</v>
      </c>
      <c r="D12591" s="5" t="s">
        <v>12</v>
      </c>
      <c r="E12591" s="5" t="s">
        <v>3955</v>
      </c>
    </row>
    <row r="12592" spans="1:5" x14ac:dyDescent="0.25">
      <c r="A12592" s="5">
        <f>12584</f>
      </c>
      <c r="B12592" s="5" t="s">
        <v>11863</v>
      </c>
      <c r="C12592" s="5" t="s">
        <v>11</v>
      </c>
      <c r="D12592" s="5" t="s">
        <v>12</v>
      </c>
      <c r="E12592" s="5" t="s">
        <v>2386</v>
      </c>
    </row>
    <row r="12593" spans="1:5" x14ac:dyDescent="0.25">
      <c r="A12593" s="5">
        <f>12585</f>
      </c>
      <c r="B12593" s="5" t="s">
        <v>11864</v>
      </c>
      <c r="C12593" s="5" t="s">
        <v>11</v>
      </c>
      <c r="D12593" s="5" t="s">
        <v>12</v>
      </c>
      <c r="E12593" s="5" t="s">
        <v>2255</v>
      </c>
    </row>
    <row r="12594" spans="1:5" x14ac:dyDescent="0.25">
      <c r="A12594" s="5">
        <f>12586</f>
      </c>
      <c r="B12594" s="5" t="s">
        <v>11865</v>
      </c>
      <c r="C12594" s="5" t="s">
        <v>11</v>
      </c>
      <c r="D12594" s="5" t="s">
        <v>12</v>
      </c>
      <c r="E12594" s="5" t="s">
        <v>3927</v>
      </c>
    </row>
    <row r="12595" spans="1:5" x14ac:dyDescent="0.25">
      <c r="A12595" s="5">
        <f>12587</f>
      </c>
      <c r="B12595" s="5" t="s">
        <v>11866</v>
      </c>
      <c r="C12595" s="5" t="s">
        <v>11</v>
      </c>
      <c r="D12595" s="5" t="s">
        <v>12</v>
      </c>
      <c r="E12595" s="5" t="s">
        <v>966</v>
      </c>
    </row>
    <row r="12596" spans="1:5" x14ac:dyDescent="0.25">
      <c r="A12596" s="5">
        <f>12588</f>
      </c>
      <c r="B12596" s="5" t="s">
        <v>11867</v>
      </c>
      <c r="C12596" s="5" t="s">
        <v>11</v>
      </c>
      <c r="D12596" s="5" t="s">
        <v>12</v>
      </c>
      <c r="E12596" s="5" t="s">
        <v>4105</v>
      </c>
    </row>
    <row r="12597" spans="1:5" x14ac:dyDescent="0.25">
      <c r="A12597" s="5">
        <f>12589</f>
      </c>
      <c r="B12597" s="5" t="s">
        <v>11868</v>
      </c>
      <c r="C12597" s="5" t="s">
        <v>11</v>
      </c>
      <c r="D12597" s="5" t="s">
        <v>12</v>
      </c>
      <c r="E12597" s="5" t="s">
        <v>10479</v>
      </c>
    </row>
    <row r="12598" spans="1:5" x14ac:dyDescent="0.25">
      <c r="A12598" s="5">
        <f>12590</f>
      </c>
      <c r="B12598" s="5" t="s">
        <v>11869</v>
      </c>
      <c r="C12598" s="5" t="s">
        <v>11</v>
      </c>
      <c r="D12598" s="5" t="s">
        <v>12</v>
      </c>
      <c r="E12598" s="5" t="s">
        <v>879</v>
      </c>
    </row>
    <row r="12599" spans="1:5" x14ac:dyDescent="0.25">
      <c r="A12599" s="5">
        <f>12591</f>
      </c>
      <c r="B12599" s="5" t="s">
        <v>11870</v>
      </c>
      <c r="C12599" s="5" t="s">
        <v>11</v>
      </c>
      <c r="D12599" s="5" t="s">
        <v>12</v>
      </c>
      <c r="E12599" s="5" t="s">
        <v>3367</v>
      </c>
    </row>
    <row r="12600" spans="1:5" x14ac:dyDescent="0.25">
      <c r="A12600" s="5">
        <f>12592</f>
      </c>
      <c r="B12600" s="5" t="s">
        <v>11871</v>
      </c>
      <c r="C12600" s="5" t="s">
        <v>11</v>
      </c>
      <c r="D12600" s="5" t="s">
        <v>12</v>
      </c>
      <c r="E12600" s="5" t="s">
        <v>787</v>
      </c>
    </row>
    <row r="12601" spans="1:5" x14ac:dyDescent="0.25">
      <c r="A12601" s="5">
        <f>12593</f>
      </c>
      <c r="B12601" s="5" t="s">
        <v>11872</v>
      </c>
      <c r="C12601" s="5" t="s">
        <v>11</v>
      </c>
      <c r="D12601" s="5" t="s">
        <v>12</v>
      </c>
      <c r="E12601" s="5" t="s">
        <v>3382</v>
      </c>
    </row>
    <row r="12602" spans="1:5" x14ac:dyDescent="0.25">
      <c r="A12602" s="5">
        <f>12594</f>
      </c>
      <c r="B12602" s="5" t="s">
        <v>11873</v>
      </c>
      <c r="C12602" s="5" t="s">
        <v>11</v>
      </c>
      <c r="D12602" s="5" t="s">
        <v>12</v>
      </c>
      <c r="E12602" s="5" t="s">
        <v>3367</v>
      </c>
    </row>
    <row r="12603" spans="1:5" x14ac:dyDescent="0.25">
      <c r="A12603" s="5">
        <f>12595</f>
      </c>
      <c r="B12603" s="5" t="s">
        <v>11874</v>
      </c>
      <c r="C12603" s="5" t="s">
        <v>11</v>
      </c>
      <c r="D12603" s="5" t="s">
        <v>12</v>
      </c>
      <c r="E12603" s="5" t="s">
        <v>11362</v>
      </c>
    </row>
    <row r="12604" spans="1:5" x14ac:dyDescent="0.25">
      <c r="A12604" s="5">
        <f>12596</f>
      </c>
      <c r="B12604" s="5" t="s">
        <v>11875</v>
      </c>
      <c r="C12604" s="5" t="s">
        <v>11</v>
      </c>
      <c r="D12604" s="5" t="s">
        <v>12</v>
      </c>
      <c r="E12604" s="5" t="s">
        <v>3496</v>
      </c>
    </row>
    <row r="12605" spans="1:5" x14ac:dyDescent="0.25">
      <c r="A12605" s="5">
        <f>12597</f>
      </c>
      <c r="B12605" s="5" t="s">
        <v>11876</v>
      </c>
      <c r="C12605" s="5" t="s">
        <v>11</v>
      </c>
      <c r="D12605" s="5" t="s">
        <v>12</v>
      </c>
      <c r="E12605" s="5" t="s">
        <v>1022</v>
      </c>
    </row>
    <row r="12606" spans="1:5" x14ac:dyDescent="0.25">
      <c r="A12606" s="5">
        <f>12598</f>
      </c>
      <c r="B12606" s="5" t="s">
        <v>11877</v>
      </c>
      <c r="C12606" s="5" t="s">
        <v>11</v>
      </c>
      <c r="D12606" s="5" t="s">
        <v>12</v>
      </c>
      <c r="E12606" s="5" t="s">
        <v>775</v>
      </c>
    </row>
    <row r="12607" spans="1:5" x14ac:dyDescent="0.25">
      <c r="A12607" s="5">
        <f>12599</f>
      </c>
      <c r="B12607" s="5" t="s">
        <v>11878</v>
      </c>
      <c r="C12607" s="5" t="s">
        <v>11</v>
      </c>
      <c r="D12607" s="5" t="s">
        <v>12</v>
      </c>
      <c r="E12607" s="5" t="s">
        <v>10618</v>
      </c>
    </row>
    <row r="12608" spans="1:5" x14ac:dyDescent="0.25">
      <c r="A12608" s="5">
        <f>12600</f>
      </c>
      <c r="B12608" s="5" t="s">
        <v>11879</v>
      </c>
      <c r="C12608" s="5" t="s">
        <v>11</v>
      </c>
      <c r="D12608" s="5" t="s">
        <v>12</v>
      </c>
      <c r="E12608" s="5" t="s">
        <v>2600</v>
      </c>
    </row>
    <row r="12609" spans="1:5" x14ac:dyDescent="0.25">
      <c r="A12609" s="5">
        <f>12601</f>
      </c>
      <c r="B12609" s="5" t="s">
        <v>11880</v>
      </c>
      <c r="C12609" s="5" t="s">
        <v>11</v>
      </c>
      <c r="D12609" s="5" t="s">
        <v>12</v>
      </c>
      <c r="E12609" s="5" t="s">
        <v>2290</v>
      </c>
    </row>
    <row r="12610" spans="1:5" x14ac:dyDescent="0.25">
      <c r="A12610" s="5">
        <f>12602</f>
      </c>
      <c r="B12610" s="5" t="s">
        <v>11881</v>
      </c>
      <c r="C12610" s="5" t="s">
        <v>11</v>
      </c>
      <c r="D12610" s="5" t="s">
        <v>12</v>
      </c>
      <c r="E12610" s="5" t="s">
        <v>2318</v>
      </c>
    </row>
    <row r="12611" spans="1:5" x14ac:dyDescent="0.25">
      <c r="A12611" s="5">
        <f>12603</f>
      </c>
      <c r="B12611" s="5" t="s">
        <v>11882</v>
      </c>
      <c r="C12611" s="5" t="s">
        <v>11</v>
      </c>
      <c r="D12611" s="5" t="s">
        <v>12</v>
      </c>
      <c r="E12611" s="5" t="s">
        <v>3606</v>
      </c>
    </row>
    <row r="12612" spans="1:5" x14ac:dyDescent="0.25">
      <c r="A12612" s="5">
        <f>12604</f>
      </c>
      <c r="B12612" s="5" t="s">
        <v>11883</v>
      </c>
      <c r="C12612" s="5" t="s">
        <v>11</v>
      </c>
      <c r="D12612" s="5" t="s">
        <v>12</v>
      </c>
      <c r="E12612" s="5" t="s">
        <v>3626</v>
      </c>
    </row>
    <row r="12613" spans="1:5" x14ac:dyDescent="0.25">
      <c r="A12613" s="5">
        <f>12605</f>
      </c>
      <c r="B12613" s="5" t="s">
        <v>11884</v>
      </c>
      <c r="C12613" s="5" t="s">
        <v>11</v>
      </c>
      <c r="D12613" s="5" t="s">
        <v>12</v>
      </c>
      <c r="E12613" s="5" t="s">
        <v>853</v>
      </c>
    </row>
    <row r="12614" spans="1:5" x14ac:dyDescent="0.25">
      <c r="A12614" s="5">
        <f>12606</f>
      </c>
      <c r="B12614" s="5" t="s">
        <v>11885</v>
      </c>
      <c r="C12614" s="5" t="s">
        <v>11</v>
      </c>
      <c r="D12614" s="5" t="s">
        <v>12</v>
      </c>
      <c r="E12614" s="5" t="s">
        <v>924</v>
      </c>
    </row>
    <row r="12615" spans="1:5" x14ac:dyDescent="0.25">
      <c r="A12615" s="5">
        <f>12607</f>
      </c>
      <c r="B12615" s="5" t="s">
        <v>11886</v>
      </c>
      <c r="C12615" s="5" t="s">
        <v>11</v>
      </c>
      <c r="D12615" s="5" t="s">
        <v>12</v>
      </c>
      <c r="E12615" s="5" t="s">
        <v>3382</v>
      </c>
    </row>
    <row r="12616" spans="1:5" x14ac:dyDescent="0.25">
      <c r="A12616" s="5">
        <f>12608</f>
      </c>
      <c r="B12616" s="5" t="s">
        <v>11887</v>
      </c>
      <c r="C12616" s="5" t="s">
        <v>11</v>
      </c>
      <c r="D12616" s="5" t="s">
        <v>12</v>
      </c>
      <c r="E12616" s="5" t="s">
        <v>1034</v>
      </c>
    </row>
    <row r="12617" spans="1:5" x14ac:dyDescent="0.25">
      <c r="A12617" s="5">
        <f>12609</f>
      </c>
      <c r="B12617" s="5" t="s">
        <v>11888</v>
      </c>
      <c r="C12617" s="5" t="s">
        <v>11</v>
      </c>
      <c r="D12617" s="5" t="s">
        <v>12</v>
      </c>
      <c r="E12617" s="5" t="s">
        <v>2668</v>
      </c>
    </row>
    <row r="12618" spans="1:5" x14ac:dyDescent="0.25">
      <c r="A12618" s="5">
        <f>12610</f>
      </c>
      <c r="B12618" s="5" t="s">
        <v>11889</v>
      </c>
      <c r="C12618" s="5" t="s">
        <v>11</v>
      </c>
      <c r="D12618" s="5" t="s">
        <v>12</v>
      </c>
      <c r="E12618" s="5" t="s">
        <v>2826</v>
      </c>
    </row>
    <row r="12619" spans="1:5" x14ac:dyDescent="0.25">
      <c r="A12619" s="5">
        <f>12611</f>
      </c>
      <c r="B12619" s="5" t="s">
        <v>11890</v>
      </c>
      <c r="C12619" s="5" t="s">
        <v>11</v>
      </c>
      <c r="D12619" s="5" t="s">
        <v>12</v>
      </c>
      <c r="E12619" s="5" t="s">
        <v>975</v>
      </c>
    </row>
    <row r="12620" spans="1:5" x14ac:dyDescent="0.25">
      <c r="A12620" s="5">
        <f>12612</f>
      </c>
      <c r="B12620" s="5" t="s">
        <v>11891</v>
      </c>
      <c r="C12620" s="5" t="s">
        <v>11</v>
      </c>
      <c r="D12620" s="5" t="s">
        <v>12</v>
      </c>
      <c r="E12620" s="5" t="s">
        <v>2582</v>
      </c>
    </row>
    <row r="12621" spans="1:5" x14ac:dyDescent="0.25">
      <c r="A12621" s="5">
        <f>12613</f>
      </c>
      <c r="B12621" s="5" t="s">
        <v>11892</v>
      </c>
      <c r="C12621" s="5" t="s">
        <v>11</v>
      </c>
      <c r="D12621" s="5" t="s">
        <v>12</v>
      </c>
      <c r="E12621" s="5" t="s">
        <v>3386</v>
      </c>
    </row>
    <row r="12622" spans="1:5" x14ac:dyDescent="0.25">
      <c r="A12622" s="5">
        <f>12614</f>
      </c>
      <c r="B12622" s="5" t="s">
        <v>11893</v>
      </c>
      <c r="C12622" s="5" t="s">
        <v>11</v>
      </c>
      <c r="D12622" s="5" t="s">
        <v>12</v>
      </c>
      <c r="E12622" s="5" t="s">
        <v>2639</v>
      </c>
    </row>
    <row r="12623" spans="1:5" x14ac:dyDescent="0.25">
      <c r="A12623" s="5">
        <f>12615</f>
      </c>
      <c r="B12623" s="5" t="s">
        <v>11894</v>
      </c>
      <c r="C12623" s="5" t="s">
        <v>11</v>
      </c>
      <c r="D12623" s="5" t="s">
        <v>12</v>
      </c>
      <c r="E12623" s="5" t="s">
        <v>4151</v>
      </c>
    </row>
    <row r="12624" spans="1:5" x14ac:dyDescent="0.25">
      <c r="A12624" s="5">
        <f>12616</f>
      </c>
      <c r="B12624" s="5" t="s">
        <v>11895</v>
      </c>
      <c r="C12624" s="5" t="s">
        <v>11</v>
      </c>
      <c r="D12624" s="5" t="s">
        <v>12</v>
      </c>
      <c r="E12624" s="5" t="s">
        <v>2300</v>
      </c>
    </row>
    <row r="12625" spans="1:5" x14ac:dyDescent="0.25">
      <c r="A12625" s="5">
        <f>12617</f>
      </c>
      <c r="B12625" s="5" t="s">
        <v>11896</v>
      </c>
      <c r="C12625" s="5" t="s">
        <v>11</v>
      </c>
      <c r="D12625" s="5" t="s">
        <v>12</v>
      </c>
      <c r="E12625" s="5" t="s">
        <v>2624</v>
      </c>
    </row>
    <row r="12626" spans="1:5" x14ac:dyDescent="0.25">
      <c r="A12626" s="5">
        <f>12618</f>
      </c>
      <c r="B12626" s="5" t="s">
        <v>11897</v>
      </c>
      <c r="C12626" s="5" t="s">
        <v>11</v>
      </c>
      <c r="D12626" s="5" t="s">
        <v>12</v>
      </c>
      <c r="E12626" s="5" t="s">
        <v>3382</v>
      </c>
    </row>
    <row r="12627" spans="1:5" x14ac:dyDescent="0.25">
      <c r="A12627" s="5">
        <f>12619</f>
      </c>
      <c r="B12627" s="5" t="s">
        <v>11898</v>
      </c>
      <c r="C12627" s="5" t="s">
        <v>11</v>
      </c>
      <c r="D12627" s="5" t="s">
        <v>12</v>
      </c>
      <c r="E12627" s="5" t="s">
        <v>966</v>
      </c>
    </row>
    <row r="12628" spans="1:5" x14ac:dyDescent="0.25">
      <c r="A12628" s="5">
        <f>12620</f>
      </c>
      <c r="B12628" s="5" t="s">
        <v>11899</v>
      </c>
      <c r="C12628" s="5" t="s">
        <v>11</v>
      </c>
      <c r="D12628" s="5" t="s">
        <v>12</v>
      </c>
      <c r="E12628" s="5" t="s">
        <v>966</v>
      </c>
    </row>
    <row r="12629" spans="1:5" x14ac:dyDescent="0.25">
      <c r="A12629" s="5">
        <f>12621</f>
      </c>
      <c r="B12629" s="5" t="s">
        <v>11900</v>
      </c>
      <c r="C12629" s="5" t="s">
        <v>11</v>
      </c>
      <c r="D12629" s="5" t="s">
        <v>12</v>
      </c>
      <c r="E12629" s="5" t="s">
        <v>3891</v>
      </c>
    </row>
    <row r="12630" spans="1:5" x14ac:dyDescent="0.25">
      <c r="A12630" s="5">
        <f>12622</f>
      </c>
      <c r="B12630" s="5" t="s">
        <v>11901</v>
      </c>
      <c r="C12630" s="5" t="s">
        <v>11</v>
      </c>
      <c r="D12630" s="5" t="s">
        <v>12</v>
      </c>
      <c r="E12630" s="5" t="s">
        <v>2598</v>
      </c>
    </row>
    <row r="12631" spans="1:5" x14ac:dyDescent="0.25">
      <c r="A12631" s="5">
        <f>12623</f>
      </c>
      <c r="B12631" s="5" t="s">
        <v>11902</v>
      </c>
      <c r="C12631" s="5" t="s">
        <v>11</v>
      </c>
      <c r="D12631" s="5" t="s">
        <v>12</v>
      </c>
      <c r="E12631" s="5" t="s">
        <v>2823</v>
      </c>
    </row>
    <row r="12632" spans="1:5" x14ac:dyDescent="0.25">
      <c r="A12632" s="5">
        <f>12624</f>
      </c>
      <c r="B12632" s="5" t="s">
        <v>11903</v>
      </c>
      <c r="C12632" s="5" t="s">
        <v>11</v>
      </c>
      <c r="D12632" s="5" t="s">
        <v>12</v>
      </c>
      <c r="E12632" s="5" t="s">
        <v>2338</v>
      </c>
    </row>
    <row r="12633" spans="1:5" x14ac:dyDescent="0.25">
      <c r="A12633" s="5">
        <f>12625</f>
      </c>
      <c r="B12633" s="5" t="s">
        <v>11904</v>
      </c>
      <c r="C12633" s="5" t="s">
        <v>11</v>
      </c>
      <c r="D12633" s="5" t="s">
        <v>12</v>
      </c>
      <c r="E12633" s="5" t="s">
        <v>770</v>
      </c>
    </row>
    <row r="12634" spans="1:5" x14ac:dyDescent="0.25">
      <c r="A12634" s="5">
        <f>12626</f>
      </c>
      <c r="B12634" s="5" t="s">
        <v>11905</v>
      </c>
      <c r="C12634" s="5" t="s">
        <v>11</v>
      </c>
      <c r="D12634" s="5" t="s">
        <v>12</v>
      </c>
      <c r="E12634" s="5" t="s">
        <v>3524</v>
      </c>
    </row>
    <row r="12635" spans="1:5" x14ac:dyDescent="0.25">
      <c r="A12635" s="5">
        <f>12627</f>
      </c>
      <c r="B12635" s="5" t="s">
        <v>11906</v>
      </c>
      <c r="C12635" s="5" t="s">
        <v>11</v>
      </c>
      <c r="D12635" s="5" t="s">
        <v>12</v>
      </c>
      <c r="E12635" s="5" t="s">
        <v>2338</v>
      </c>
    </row>
    <row r="12636" spans="1:5" x14ac:dyDescent="0.25">
      <c r="A12636" s="5">
        <f>12628</f>
      </c>
      <c r="B12636" s="5" t="s">
        <v>11907</v>
      </c>
      <c r="C12636" s="5" t="s">
        <v>11</v>
      </c>
      <c r="D12636" s="5" t="s">
        <v>12</v>
      </c>
      <c r="E12636" s="5" t="s">
        <v>3367</v>
      </c>
    </row>
    <row r="12637" spans="1:5" x14ac:dyDescent="0.25">
      <c r="A12637" s="5">
        <f>12629</f>
      </c>
      <c r="B12637" s="5" t="s">
        <v>11908</v>
      </c>
      <c r="C12637" s="5" t="s">
        <v>11</v>
      </c>
      <c r="D12637" s="5" t="s">
        <v>12</v>
      </c>
      <c r="E12637" s="5" t="s">
        <v>3962</v>
      </c>
    </row>
    <row r="12638" spans="1:5" x14ac:dyDescent="0.25">
      <c r="A12638" s="5">
        <f>12630</f>
      </c>
      <c r="B12638" s="5" t="s">
        <v>11909</v>
      </c>
      <c r="C12638" s="5" t="s">
        <v>11</v>
      </c>
      <c r="D12638" s="5" t="s">
        <v>12</v>
      </c>
      <c r="E12638" s="5" t="s">
        <v>3962</v>
      </c>
    </row>
    <row r="12639" spans="1:5" x14ac:dyDescent="0.25">
      <c r="A12639" s="5">
        <f>12631</f>
      </c>
      <c r="B12639" s="5" t="s">
        <v>11910</v>
      </c>
      <c r="C12639" s="5" t="s">
        <v>11</v>
      </c>
      <c r="D12639" s="5" t="s">
        <v>12</v>
      </c>
      <c r="E12639" s="5" t="s">
        <v>3962</v>
      </c>
    </row>
    <row r="12640" spans="1:5" x14ac:dyDescent="0.25">
      <c r="A12640" s="5">
        <f>12632</f>
      </c>
      <c r="B12640" s="5" t="s">
        <v>11911</v>
      </c>
      <c r="C12640" s="5" t="s">
        <v>11</v>
      </c>
      <c r="D12640" s="5" t="s">
        <v>12</v>
      </c>
      <c r="E12640" s="5" t="s">
        <v>2626</v>
      </c>
    </row>
    <row r="12641" spans="1:5" x14ac:dyDescent="0.25">
      <c r="A12641" s="5">
        <f>12633</f>
      </c>
      <c r="B12641" s="5" t="s">
        <v>11912</v>
      </c>
      <c r="C12641" s="5" t="s">
        <v>11</v>
      </c>
      <c r="D12641" s="5" t="s">
        <v>12</v>
      </c>
      <c r="E12641" s="5" t="s">
        <v>722</v>
      </c>
    </row>
    <row r="12642" spans="1:5" x14ac:dyDescent="0.25">
      <c r="A12642" s="5">
        <f>12634</f>
      </c>
      <c r="B12642" s="5" t="s">
        <v>11913</v>
      </c>
      <c r="C12642" s="5" t="s">
        <v>11</v>
      </c>
      <c r="D12642" s="5" t="s">
        <v>12</v>
      </c>
      <c r="E12642" s="5" t="s">
        <v>732</v>
      </c>
    </row>
    <row r="12643" spans="1:5" x14ac:dyDescent="0.25">
      <c r="A12643" s="5">
        <f>12635</f>
      </c>
      <c r="B12643" s="5" t="s">
        <v>11914</v>
      </c>
      <c r="C12643" s="5" t="s">
        <v>11</v>
      </c>
      <c r="D12643" s="5" t="s">
        <v>12</v>
      </c>
      <c r="E12643" s="5" t="s">
        <v>11475</v>
      </c>
    </row>
    <row r="12644" spans="1:5" x14ac:dyDescent="0.25">
      <c r="A12644" s="5">
        <f>12636</f>
      </c>
      <c r="B12644" s="5" t="s">
        <v>11915</v>
      </c>
      <c r="C12644" s="5" t="s">
        <v>11</v>
      </c>
      <c r="D12644" s="5" t="s">
        <v>12</v>
      </c>
      <c r="E12644" s="5" t="s">
        <v>3958</v>
      </c>
    </row>
    <row r="12645" spans="1:5" x14ac:dyDescent="0.25">
      <c r="A12645" s="5">
        <f>12637</f>
      </c>
      <c r="B12645" s="5" t="s">
        <v>11916</v>
      </c>
      <c r="C12645" s="5" t="s">
        <v>11</v>
      </c>
      <c r="D12645" s="5" t="s">
        <v>12</v>
      </c>
      <c r="E12645" s="5" t="s">
        <v>3608</v>
      </c>
    </row>
    <row r="12646" spans="1:5" x14ac:dyDescent="0.25">
      <c r="A12646" s="5">
        <f>12638</f>
      </c>
      <c r="B12646" s="5" t="s">
        <v>11917</v>
      </c>
      <c r="C12646" s="5" t="s">
        <v>11</v>
      </c>
      <c r="D12646" s="5" t="s">
        <v>12</v>
      </c>
      <c r="E12646" s="5" t="s">
        <v>10479</v>
      </c>
    </row>
    <row r="12647" spans="1:5" x14ac:dyDescent="0.25">
      <c r="A12647" s="5">
        <f>12639</f>
      </c>
      <c r="B12647" s="5" t="s">
        <v>11918</v>
      </c>
      <c r="C12647" s="5" t="s">
        <v>11</v>
      </c>
      <c r="D12647" s="5" t="s">
        <v>12</v>
      </c>
      <c r="E12647" s="5" t="s">
        <v>9512</v>
      </c>
    </row>
    <row r="12648" spans="1:5" x14ac:dyDescent="0.25">
      <c r="A12648" s="5">
        <f>12640</f>
      </c>
      <c r="B12648" s="5" t="s">
        <v>11919</v>
      </c>
      <c r="C12648" s="5" t="s">
        <v>11</v>
      </c>
      <c r="D12648" s="5" t="s">
        <v>12</v>
      </c>
      <c r="E12648" s="5" t="s">
        <v>3367</v>
      </c>
    </row>
    <row r="12649" spans="1:5" x14ac:dyDescent="0.25">
      <c r="A12649" s="5">
        <f>12641</f>
      </c>
      <c r="B12649" s="5" t="s">
        <v>11920</v>
      </c>
      <c r="C12649" s="5" t="s">
        <v>11</v>
      </c>
      <c r="D12649" s="5" t="s">
        <v>12</v>
      </c>
      <c r="E12649" s="5" t="s">
        <v>3425</v>
      </c>
    </row>
    <row r="12650" spans="1:5" x14ac:dyDescent="0.25">
      <c r="A12650" s="5">
        <f>12642</f>
      </c>
      <c r="B12650" s="5" t="s">
        <v>11921</v>
      </c>
      <c r="C12650" s="5" t="s">
        <v>11</v>
      </c>
      <c r="D12650" s="5" t="s">
        <v>12</v>
      </c>
      <c r="E12650" s="5" t="s">
        <v>3520</v>
      </c>
    </row>
    <row r="12651" spans="1:5" x14ac:dyDescent="0.25">
      <c r="A12651" s="5">
        <f>12643</f>
      </c>
      <c r="B12651" s="5" t="s">
        <v>11922</v>
      </c>
      <c r="C12651" s="5" t="s">
        <v>11</v>
      </c>
      <c r="D12651" s="5" t="s">
        <v>12</v>
      </c>
      <c r="E12651" s="5" t="s">
        <v>873</v>
      </c>
    </row>
    <row r="12652" spans="1:5" x14ac:dyDescent="0.25">
      <c r="A12652" s="5">
        <f>12644</f>
      </c>
      <c r="B12652" s="5" t="s">
        <v>11923</v>
      </c>
      <c r="C12652" s="5" t="s">
        <v>11</v>
      </c>
      <c r="D12652" s="5" t="s">
        <v>12</v>
      </c>
      <c r="E12652" s="5" t="s">
        <v>2596</v>
      </c>
    </row>
    <row r="12653" spans="1:5" x14ac:dyDescent="0.25">
      <c r="A12653" s="5">
        <f>12645</f>
      </c>
      <c r="B12653" s="5" t="s">
        <v>11924</v>
      </c>
      <c r="C12653" s="5" t="s">
        <v>11</v>
      </c>
      <c r="D12653" s="5" t="s">
        <v>12</v>
      </c>
      <c r="E12653" s="5" t="s">
        <v>2596</v>
      </c>
    </row>
    <row r="12654" spans="1:5" x14ac:dyDescent="0.25">
      <c r="A12654" s="5">
        <f>12646</f>
      </c>
      <c r="B12654" s="5" t="s">
        <v>11925</v>
      </c>
      <c r="C12654" s="5" t="s">
        <v>11</v>
      </c>
      <c r="D12654" s="5" t="s">
        <v>12</v>
      </c>
      <c r="E12654" s="5" t="s">
        <v>2596</v>
      </c>
    </row>
    <row r="12655" spans="1:5" x14ac:dyDescent="0.25">
      <c r="A12655" s="5">
        <f>12647</f>
      </c>
      <c r="B12655" s="5" t="s">
        <v>11926</v>
      </c>
      <c r="C12655" s="5" t="s">
        <v>11</v>
      </c>
      <c r="D12655" s="5" t="s">
        <v>12</v>
      </c>
      <c r="E12655" s="5" t="s">
        <v>2596</v>
      </c>
    </row>
    <row r="12656" spans="1:5" x14ac:dyDescent="0.25">
      <c r="A12656" s="5">
        <f>12648</f>
      </c>
      <c r="B12656" s="5" t="s">
        <v>11927</v>
      </c>
      <c r="C12656" s="5" t="s">
        <v>11</v>
      </c>
      <c r="D12656" s="5" t="s">
        <v>12</v>
      </c>
      <c r="E12656" s="5" t="s">
        <v>2596</v>
      </c>
    </row>
    <row r="12657" spans="1:5" x14ac:dyDescent="0.25">
      <c r="A12657" s="5">
        <f>12649</f>
      </c>
      <c r="B12657" s="5" t="s">
        <v>11928</v>
      </c>
      <c r="C12657" s="5" t="s">
        <v>11</v>
      </c>
      <c r="D12657" s="5" t="s">
        <v>12</v>
      </c>
      <c r="E12657" s="5" t="s">
        <v>2596</v>
      </c>
    </row>
    <row r="12658" spans="1:5" x14ac:dyDescent="0.25">
      <c r="A12658" s="5">
        <f>12650</f>
      </c>
      <c r="B12658" s="5" t="s">
        <v>11929</v>
      </c>
      <c r="C12658" s="5" t="s">
        <v>11</v>
      </c>
      <c r="D12658" s="5" t="s">
        <v>12</v>
      </c>
      <c r="E12658" s="5" t="s">
        <v>2596</v>
      </c>
    </row>
    <row r="12659" spans="1:5" x14ac:dyDescent="0.25">
      <c r="A12659" s="5">
        <f>12651</f>
      </c>
      <c r="B12659" s="5" t="s">
        <v>11930</v>
      </c>
      <c r="C12659" s="5" t="s">
        <v>11</v>
      </c>
      <c r="D12659" s="5" t="s">
        <v>12</v>
      </c>
      <c r="E12659" s="5" t="s">
        <v>2596</v>
      </c>
    </row>
    <row r="12660" spans="1:5" x14ac:dyDescent="0.25">
      <c r="A12660" s="5">
        <f>12652</f>
      </c>
      <c r="B12660" s="5" t="s">
        <v>11931</v>
      </c>
      <c r="C12660" s="5" t="s">
        <v>11</v>
      </c>
      <c r="D12660" s="5" t="s">
        <v>12</v>
      </c>
      <c r="E12660" s="5" t="s">
        <v>2596</v>
      </c>
    </row>
    <row r="12661" spans="1:5" x14ac:dyDescent="0.25">
      <c r="A12661" s="5">
        <f>12653</f>
      </c>
      <c r="B12661" s="5" t="s">
        <v>11932</v>
      </c>
      <c r="C12661" s="5" t="s">
        <v>11</v>
      </c>
      <c r="D12661" s="5" t="s">
        <v>12</v>
      </c>
      <c r="E12661" s="5" t="s">
        <v>2596</v>
      </c>
    </row>
    <row r="12662" spans="1:5" x14ac:dyDescent="0.25">
      <c r="A12662" s="5">
        <f>12654</f>
      </c>
      <c r="B12662" s="5" t="s">
        <v>11933</v>
      </c>
      <c r="C12662" s="5" t="s">
        <v>11</v>
      </c>
      <c r="D12662" s="5" t="s">
        <v>12</v>
      </c>
      <c r="E12662" s="5" t="s">
        <v>2596</v>
      </c>
    </row>
    <row r="12663" spans="1:5" x14ac:dyDescent="0.25">
      <c r="A12663" s="5">
        <f>12655</f>
      </c>
      <c r="B12663" s="5" t="s">
        <v>11934</v>
      </c>
      <c r="C12663" s="5" t="s">
        <v>11</v>
      </c>
      <c r="D12663" s="5" t="s">
        <v>12</v>
      </c>
      <c r="E12663" s="5" t="s">
        <v>2596</v>
      </c>
    </row>
    <row r="12664" spans="1:5" x14ac:dyDescent="0.25">
      <c r="A12664" s="5">
        <f>12656</f>
      </c>
      <c r="B12664" s="5" t="s">
        <v>11935</v>
      </c>
      <c r="C12664" s="5" t="s">
        <v>11</v>
      </c>
      <c r="D12664" s="5" t="s">
        <v>12</v>
      </c>
      <c r="E12664" s="5" t="s">
        <v>2596</v>
      </c>
    </row>
    <row r="12665" spans="1:5" x14ac:dyDescent="0.25">
      <c r="A12665" s="5">
        <f>12657</f>
      </c>
      <c r="B12665" s="5" t="s">
        <v>11936</v>
      </c>
      <c r="C12665" s="5" t="s">
        <v>11</v>
      </c>
      <c r="D12665" s="5" t="s">
        <v>12</v>
      </c>
      <c r="E12665" s="5" t="s">
        <v>2596</v>
      </c>
    </row>
    <row r="12666" spans="1:5" x14ac:dyDescent="0.25">
      <c r="A12666" s="5">
        <f>12658</f>
      </c>
      <c r="B12666" s="5" t="s">
        <v>11937</v>
      </c>
      <c r="C12666" s="5" t="s">
        <v>11</v>
      </c>
      <c r="D12666" s="5" t="s">
        <v>12</v>
      </c>
      <c r="E12666" s="5" t="s">
        <v>2596</v>
      </c>
    </row>
    <row r="12667" spans="1:5" x14ac:dyDescent="0.25">
      <c r="A12667" s="5">
        <f>12659</f>
      </c>
      <c r="B12667" s="5" t="s">
        <v>11938</v>
      </c>
      <c r="C12667" s="5" t="s">
        <v>11</v>
      </c>
      <c r="D12667" s="5" t="s">
        <v>12</v>
      </c>
      <c r="E12667" s="5" t="s">
        <v>2596</v>
      </c>
    </row>
    <row r="12668" spans="1:5" x14ac:dyDescent="0.25">
      <c r="A12668" s="5">
        <f>12660</f>
      </c>
      <c r="B12668" s="5" t="s">
        <v>11939</v>
      </c>
      <c r="C12668" s="5" t="s">
        <v>11</v>
      </c>
      <c r="D12668" s="5" t="s">
        <v>12</v>
      </c>
      <c r="E12668" s="5" t="s">
        <v>10683</v>
      </c>
    </row>
    <row r="12669" spans="1:5" x14ac:dyDescent="0.25">
      <c r="A12669" s="5">
        <f>12661</f>
      </c>
      <c r="B12669" s="5" t="s">
        <v>11940</v>
      </c>
      <c r="C12669" s="5" t="s">
        <v>11</v>
      </c>
      <c r="D12669" s="5" t="s">
        <v>12</v>
      </c>
      <c r="E12669" s="5" t="s">
        <v>10683</v>
      </c>
    </row>
    <row r="12670" spans="1:5" x14ac:dyDescent="0.25">
      <c r="A12670" s="5">
        <f>12662</f>
      </c>
      <c r="B12670" s="5" t="s">
        <v>11941</v>
      </c>
      <c r="C12670" s="5" t="s">
        <v>11</v>
      </c>
      <c r="D12670" s="5" t="s">
        <v>12</v>
      </c>
      <c r="E12670" s="5" t="s">
        <v>10683</v>
      </c>
    </row>
    <row r="12671" spans="1:5" x14ac:dyDescent="0.25">
      <c r="A12671" s="5">
        <f>12663</f>
      </c>
      <c r="B12671" s="5" t="s">
        <v>11942</v>
      </c>
      <c r="C12671" s="5" t="s">
        <v>11</v>
      </c>
      <c r="D12671" s="5" t="s">
        <v>12</v>
      </c>
      <c r="E12671" s="5" t="s">
        <v>10683</v>
      </c>
    </row>
    <row r="12672" spans="1:5" x14ac:dyDescent="0.25">
      <c r="A12672" s="5">
        <f>12664</f>
      </c>
      <c r="B12672" s="5" t="s">
        <v>11943</v>
      </c>
      <c r="C12672" s="5" t="s">
        <v>11</v>
      </c>
      <c r="D12672" s="5" t="s">
        <v>12</v>
      </c>
      <c r="E12672" s="5" t="s">
        <v>10683</v>
      </c>
    </row>
    <row r="12673" spans="1:5" x14ac:dyDescent="0.25">
      <c r="A12673" s="5">
        <f>12665</f>
      </c>
      <c r="B12673" s="5" t="s">
        <v>11944</v>
      </c>
      <c r="C12673" s="5" t="s">
        <v>11</v>
      </c>
      <c r="D12673" s="5" t="s">
        <v>12</v>
      </c>
      <c r="E12673" s="5" t="s">
        <v>10683</v>
      </c>
    </row>
    <row r="12674" spans="1:5" x14ac:dyDescent="0.25">
      <c r="A12674" s="5">
        <f>12666</f>
      </c>
      <c r="B12674" s="5" t="s">
        <v>11945</v>
      </c>
      <c r="C12674" s="5" t="s">
        <v>11</v>
      </c>
      <c r="D12674" s="5" t="s">
        <v>12</v>
      </c>
      <c r="E12674" s="5" t="s">
        <v>10683</v>
      </c>
    </row>
    <row r="12675" spans="1:5" x14ac:dyDescent="0.25">
      <c r="A12675" s="5">
        <f>12667</f>
      </c>
      <c r="B12675" s="5" t="s">
        <v>11946</v>
      </c>
      <c r="C12675" s="5" t="s">
        <v>11</v>
      </c>
      <c r="D12675" s="5" t="s">
        <v>12</v>
      </c>
      <c r="E12675" s="5" t="s">
        <v>10683</v>
      </c>
    </row>
    <row r="12676" spans="1:5" x14ac:dyDescent="0.25">
      <c r="A12676" s="5">
        <f>12668</f>
      </c>
      <c r="B12676" s="5" t="s">
        <v>11947</v>
      </c>
      <c r="C12676" s="5" t="s">
        <v>11</v>
      </c>
      <c r="D12676" s="5" t="s">
        <v>12</v>
      </c>
      <c r="E12676" s="5" t="s">
        <v>10683</v>
      </c>
    </row>
    <row r="12677" spans="1:5" x14ac:dyDescent="0.25">
      <c r="A12677" s="5">
        <f>12669</f>
      </c>
      <c r="B12677" s="5" t="s">
        <v>11948</v>
      </c>
      <c r="C12677" s="5" t="s">
        <v>11</v>
      </c>
      <c r="D12677" s="5" t="s">
        <v>12</v>
      </c>
      <c r="E12677" s="5" t="s">
        <v>10683</v>
      </c>
    </row>
    <row r="12678" spans="1:5" x14ac:dyDescent="0.25">
      <c r="A12678" s="5">
        <f>12670</f>
      </c>
      <c r="B12678" s="5" t="s">
        <v>11949</v>
      </c>
      <c r="C12678" s="5" t="s">
        <v>11</v>
      </c>
      <c r="D12678" s="5" t="s">
        <v>12</v>
      </c>
      <c r="E12678" s="5" t="s">
        <v>10683</v>
      </c>
    </row>
    <row r="12679" spans="1:5" x14ac:dyDescent="0.25">
      <c r="A12679" s="5">
        <f>12671</f>
      </c>
      <c r="B12679" s="5" t="s">
        <v>11950</v>
      </c>
      <c r="C12679" s="5" t="s">
        <v>11</v>
      </c>
      <c r="D12679" s="5" t="s">
        <v>12</v>
      </c>
      <c r="E12679" s="5" t="s">
        <v>10683</v>
      </c>
    </row>
    <row r="12680" spans="1:5" x14ac:dyDescent="0.25">
      <c r="A12680" s="5">
        <f>12672</f>
      </c>
      <c r="B12680" s="5" t="s">
        <v>11951</v>
      </c>
      <c r="C12680" s="5" t="s">
        <v>11</v>
      </c>
      <c r="D12680" s="5" t="s">
        <v>12</v>
      </c>
      <c r="E12680" s="5" t="s">
        <v>10683</v>
      </c>
    </row>
    <row r="12681" spans="1:5" x14ac:dyDescent="0.25">
      <c r="A12681" s="5">
        <f>12673</f>
      </c>
      <c r="B12681" s="5" t="s">
        <v>11952</v>
      </c>
      <c r="C12681" s="5" t="s">
        <v>11</v>
      </c>
      <c r="D12681" s="5" t="s">
        <v>12</v>
      </c>
      <c r="E12681" s="5" t="s">
        <v>10683</v>
      </c>
    </row>
    <row r="12682" spans="1:5" x14ac:dyDescent="0.25">
      <c r="A12682" s="5">
        <f>12674</f>
      </c>
      <c r="B12682" s="5" t="s">
        <v>11953</v>
      </c>
      <c r="C12682" s="5" t="s">
        <v>11</v>
      </c>
      <c r="D12682" s="5" t="s">
        <v>12</v>
      </c>
      <c r="E12682" s="5" t="s">
        <v>10683</v>
      </c>
    </row>
    <row r="12683" spans="1:5" x14ac:dyDescent="0.25">
      <c r="A12683" s="5">
        <f>12675</f>
      </c>
      <c r="B12683" s="5" t="s">
        <v>11954</v>
      </c>
      <c r="C12683" s="5" t="s">
        <v>11</v>
      </c>
      <c r="D12683" s="5" t="s">
        <v>12</v>
      </c>
      <c r="E12683" s="5" t="s">
        <v>10683</v>
      </c>
    </row>
    <row r="12684" spans="1:5" x14ac:dyDescent="0.25">
      <c r="A12684" s="5">
        <f>12676</f>
      </c>
      <c r="B12684" s="5" t="s">
        <v>11955</v>
      </c>
      <c r="C12684" s="5" t="s">
        <v>11</v>
      </c>
      <c r="D12684" s="5" t="s">
        <v>12</v>
      </c>
      <c r="E12684" s="5" t="s">
        <v>10683</v>
      </c>
    </row>
    <row r="12685" spans="1:5" x14ac:dyDescent="0.25">
      <c r="A12685" s="5">
        <f>12677</f>
      </c>
      <c r="B12685" s="5" t="s">
        <v>11956</v>
      </c>
      <c r="C12685" s="5" t="s">
        <v>11</v>
      </c>
      <c r="D12685" s="5" t="s">
        <v>12</v>
      </c>
      <c r="E12685" s="5" t="s">
        <v>10683</v>
      </c>
    </row>
    <row r="12686" spans="1:5" x14ac:dyDescent="0.25">
      <c r="A12686" s="5">
        <f>12678</f>
      </c>
      <c r="B12686" s="5" t="s">
        <v>11957</v>
      </c>
      <c r="C12686" s="5" t="s">
        <v>11</v>
      </c>
      <c r="D12686" s="5" t="s">
        <v>12</v>
      </c>
      <c r="E12686" s="5" t="s">
        <v>10683</v>
      </c>
    </row>
    <row r="12687" spans="1:5" x14ac:dyDescent="0.25">
      <c r="A12687" s="5">
        <f>12679</f>
      </c>
      <c r="B12687" s="5" t="s">
        <v>11958</v>
      </c>
      <c r="C12687" s="5" t="s">
        <v>11</v>
      </c>
      <c r="D12687" s="5" t="s">
        <v>12</v>
      </c>
      <c r="E12687" s="5" t="s">
        <v>10683</v>
      </c>
    </row>
    <row r="12688" spans="1:5" x14ac:dyDescent="0.25">
      <c r="A12688" s="5">
        <f>12680</f>
      </c>
      <c r="B12688" s="5" t="s">
        <v>11959</v>
      </c>
      <c r="C12688" s="5" t="s">
        <v>11</v>
      </c>
      <c r="D12688" s="5" t="s">
        <v>12</v>
      </c>
      <c r="E12688" s="5" t="s">
        <v>10683</v>
      </c>
    </row>
    <row r="12689" spans="1:5" x14ac:dyDescent="0.25">
      <c r="A12689" s="5">
        <f>12681</f>
      </c>
      <c r="B12689" s="5" t="s">
        <v>11960</v>
      </c>
      <c r="C12689" s="5" t="s">
        <v>11</v>
      </c>
      <c r="D12689" s="5" t="s">
        <v>12</v>
      </c>
      <c r="E12689" s="5" t="s">
        <v>10683</v>
      </c>
    </row>
    <row r="12690" spans="1:5" x14ac:dyDescent="0.25">
      <c r="A12690" s="5">
        <f>12682</f>
      </c>
      <c r="B12690" s="5" t="s">
        <v>11961</v>
      </c>
      <c r="C12690" s="5" t="s">
        <v>11</v>
      </c>
      <c r="D12690" s="5" t="s">
        <v>12</v>
      </c>
      <c r="E12690" s="5" t="s">
        <v>10683</v>
      </c>
    </row>
    <row r="12691" spans="1:5" x14ac:dyDescent="0.25">
      <c r="A12691" s="5">
        <f>12683</f>
      </c>
      <c r="B12691" s="5" t="s">
        <v>11962</v>
      </c>
      <c r="C12691" s="5" t="s">
        <v>11</v>
      </c>
      <c r="D12691" s="5" t="s">
        <v>12</v>
      </c>
      <c r="E12691" s="5" t="s">
        <v>10683</v>
      </c>
    </row>
    <row r="12692" spans="1:5" x14ac:dyDescent="0.25">
      <c r="A12692" s="5">
        <f>12684</f>
      </c>
      <c r="B12692" s="5" t="s">
        <v>11963</v>
      </c>
      <c r="C12692" s="5" t="s">
        <v>11</v>
      </c>
      <c r="D12692" s="5" t="s">
        <v>12</v>
      </c>
      <c r="E12692" s="5" t="s">
        <v>10683</v>
      </c>
    </row>
    <row r="12693" spans="1:5" x14ac:dyDescent="0.25">
      <c r="A12693" s="5">
        <f>12685</f>
      </c>
      <c r="B12693" s="5" t="s">
        <v>11964</v>
      </c>
      <c r="C12693" s="5" t="s">
        <v>11</v>
      </c>
      <c r="D12693" s="5" t="s">
        <v>12</v>
      </c>
      <c r="E12693" s="5" t="s">
        <v>10683</v>
      </c>
    </row>
    <row r="12694" spans="1:5" x14ac:dyDescent="0.25">
      <c r="A12694" s="5">
        <f>12686</f>
      </c>
      <c r="B12694" s="5" t="s">
        <v>11965</v>
      </c>
      <c r="C12694" s="5" t="s">
        <v>11</v>
      </c>
      <c r="D12694" s="5" t="s">
        <v>12</v>
      </c>
      <c r="E12694" s="5" t="s">
        <v>10683</v>
      </c>
    </row>
    <row r="12695" spans="1:5" x14ac:dyDescent="0.25">
      <c r="A12695" s="5">
        <f>12687</f>
      </c>
      <c r="B12695" s="5" t="s">
        <v>11966</v>
      </c>
      <c r="C12695" s="5" t="s">
        <v>11</v>
      </c>
      <c r="D12695" s="5" t="s">
        <v>12</v>
      </c>
      <c r="E12695" s="5" t="s">
        <v>10683</v>
      </c>
    </row>
    <row r="12696" spans="1:5" x14ac:dyDescent="0.25">
      <c r="A12696" s="5">
        <f>12688</f>
      </c>
      <c r="B12696" s="5" t="s">
        <v>11967</v>
      </c>
      <c r="C12696" s="5" t="s">
        <v>11</v>
      </c>
      <c r="D12696" s="5" t="s">
        <v>12</v>
      </c>
      <c r="E12696" s="5" t="s">
        <v>10683</v>
      </c>
    </row>
    <row r="12697" spans="1:5" x14ac:dyDescent="0.25">
      <c r="A12697" s="5">
        <f>12689</f>
      </c>
      <c r="B12697" s="5" t="s">
        <v>11968</v>
      </c>
      <c r="C12697" s="5" t="s">
        <v>11</v>
      </c>
      <c r="D12697" s="5" t="s">
        <v>12</v>
      </c>
      <c r="E12697" s="5" t="s">
        <v>10683</v>
      </c>
    </row>
    <row r="12698" spans="1:5" x14ac:dyDescent="0.25">
      <c r="A12698" s="5">
        <f>12690</f>
      </c>
      <c r="B12698" s="5" t="s">
        <v>11969</v>
      </c>
      <c r="C12698" s="5" t="s">
        <v>11</v>
      </c>
      <c r="D12698" s="5" t="s">
        <v>12</v>
      </c>
      <c r="E12698" s="5" t="s">
        <v>10683</v>
      </c>
    </row>
    <row r="12699" spans="1:5" x14ac:dyDescent="0.25">
      <c r="A12699" s="5">
        <f>12691</f>
      </c>
      <c r="B12699" s="5" t="s">
        <v>11970</v>
      </c>
      <c r="C12699" s="5" t="s">
        <v>11</v>
      </c>
      <c r="D12699" s="5" t="s">
        <v>12</v>
      </c>
      <c r="E12699" s="5" t="s">
        <v>10683</v>
      </c>
    </row>
    <row r="12700" spans="1:5" x14ac:dyDescent="0.25">
      <c r="A12700" s="5">
        <f>12692</f>
      </c>
      <c r="B12700" s="5" t="s">
        <v>11971</v>
      </c>
      <c r="C12700" s="5" t="s">
        <v>11</v>
      </c>
      <c r="D12700" s="5" t="s">
        <v>12</v>
      </c>
      <c r="E12700" s="5" t="s">
        <v>10683</v>
      </c>
    </row>
    <row r="12701" spans="1:5" x14ac:dyDescent="0.25">
      <c r="A12701" s="5">
        <f>12693</f>
      </c>
      <c r="B12701" s="5" t="s">
        <v>11972</v>
      </c>
      <c r="C12701" s="5" t="s">
        <v>11</v>
      </c>
      <c r="D12701" s="5" t="s">
        <v>12</v>
      </c>
      <c r="E12701" s="5" t="s">
        <v>10683</v>
      </c>
    </row>
    <row r="12702" spans="1:5" x14ac:dyDescent="0.25">
      <c r="A12702" s="5">
        <f>12694</f>
      </c>
      <c r="B12702" s="5" t="s">
        <v>11973</v>
      </c>
      <c r="C12702" s="5" t="s">
        <v>11</v>
      </c>
      <c r="D12702" s="5" t="s">
        <v>12</v>
      </c>
      <c r="E12702" s="5" t="s">
        <v>10683</v>
      </c>
    </row>
    <row r="12703" spans="1:5" x14ac:dyDescent="0.25">
      <c r="A12703" s="5">
        <f>12695</f>
      </c>
      <c r="B12703" s="5" t="s">
        <v>11974</v>
      </c>
      <c r="C12703" s="5" t="s">
        <v>11</v>
      </c>
      <c r="D12703" s="5" t="s">
        <v>12</v>
      </c>
      <c r="E12703" s="5" t="s">
        <v>10683</v>
      </c>
    </row>
    <row r="12704" spans="1:5" x14ac:dyDescent="0.25">
      <c r="A12704" s="5">
        <f>12696</f>
      </c>
      <c r="B12704" s="5" t="s">
        <v>11975</v>
      </c>
      <c r="C12704" s="5" t="s">
        <v>11</v>
      </c>
      <c r="D12704" s="5" t="s">
        <v>12</v>
      </c>
      <c r="E12704" s="5" t="s">
        <v>10683</v>
      </c>
    </row>
    <row r="12705" spans="1:5" x14ac:dyDescent="0.25">
      <c r="A12705" s="5">
        <f>12697</f>
      </c>
      <c r="B12705" s="5" t="s">
        <v>11976</v>
      </c>
      <c r="C12705" s="5" t="s">
        <v>11</v>
      </c>
      <c r="D12705" s="5" t="s">
        <v>12</v>
      </c>
      <c r="E12705" s="5" t="s">
        <v>10683</v>
      </c>
    </row>
    <row r="12706" spans="1:5" x14ac:dyDescent="0.25">
      <c r="A12706" s="5">
        <f>12698</f>
      </c>
      <c r="B12706" s="5" t="s">
        <v>11977</v>
      </c>
      <c r="C12706" s="5" t="s">
        <v>11</v>
      </c>
      <c r="D12706" s="5" t="s">
        <v>12</v>
      </c>
      <c r="E12706" s="5" t="s">
        <v>2251</v>
      </c>
    </row>
    <row r="12707" spans="1:5" x14ac:dyDescent="0.25">
      <c r="A12707" s="5">
        <f>12699</f>
      </c>
      <c r="B12707" s="5" t="s">
        <v>11978</v>
      </c>
      <c r="C12707" s="5" t="s">
        <v>11</v>
      </c>
      <c r="D12707" s="5" t="s">
        <v>12</v>
      </c>
      <c r="E12707" s="5" t="s">
        <v>2251</v>
      </c>
    </row>
    <row r="12708" spans="1:5" x14ac:dyDescent="0.25">
      <c r="A12708" s="5">
        <f>12700</f>
      </c>
      <c r="B12708" s="5" t="s">
        <v>11979</v>
      </c>
      <c r="C12708" s="5" t="s">
        <v>11</v>
      </c>
      <c r="D12708" s="5" t="s">
        <v>12</v>
      </c>
      <c r="E12708" s="5" t="s">
        <v>2251</v>
      </c>
    </row>
    <row r="12709" spans="1:5" x14ac:dyDescent="0.25">
      <c r="A12709" s="5">
        <f>12701</f>
      </c>
      <c r="B12709" s="5" t="s">
        <v>11980</v>
      </c>
      <c r="C12709" s="5" t="s">
        <v>11</v>
      </c>
      <c r="D12709" s="5" t="s">
        <v>12</v>
      </c>
      <c r="E12709" s="5" t="s">
        <v>2251</v>
      </c>
    </row>
    <row r="12710" spans="1:5" x14ac:dyDescent="0.25">
      <c r="A12710" s="5">
        <f>12702</f>
      </c>
      <c r="B12710" s="5" t="s">
        <v>11981</v>
      </c>
      <c r="C12710" s="5" t="s">
        <v>11</v>
      </c>
      <c r="D12710" s="5" t="s">
        <v>12</v>
      </c>
      <c r="E12710" s="5" t="s">
        <v>2251</v>
      </c>
    </row>
    <row r="12711" spans="1:5" x14ac:dyDescent="0.25">
      <c r="A12711" s="5">
        <f>12703</f>
      </c>
      <c r="B12711" s="5" t="s">
        <v>11982</v>
      </c>
      <c r="C12711" s="5" t="s">
        <v>11</v>
      </c>
      <c r="D12711" s="5" t="s">
        <v>12</v>
      </c>
      <c r="E12711" s="5" t="s">
        <v>2251</v>
      </c>
    </row>
    <row r="12712" spans="1:5" x14ac:dyDescent="0.25">
      <c r="A12712" s="5">
        <f>12704</f>
      </c>
      <c r="B12712" s="5" t="s">
        <v>11983</v>
      </c>
      <c r="C12712" s="5" t="s">
        <v>11</v>
      </c>
      <c r="D12712" s="5" t="s">
        <v>12</v>
      </c>
      <c r="E12712" s="5" t="s">
        <v>2251</v>
      </c>
    </row>
    <row r="12713" spans="1:5" x14ac:dyDescent="0.25">
      <c r="A12713" s="5">
        <f>12705</f>
      </c>
      <c r="B12713" s="5" t="s">
        <v>11984</v>
      </c>
      <c r="C12713" s="5" t="s">
        <v>11</v>
      </c>
      <c r="D12713" s="5" t="s">
        <v>12</v>
      </c>
      <c r="E12713" s="5" t="s">
        <v>2251</v>
      </c>
    </row>
    <row r="12714" spans="1:5" x14ac:dyDescent="0.25">
      <c r="A12714" s="5">
        <f>12706</f>
      </c>
      <c r="B12714" s="5" t="s">
        <v>11985</v>
      </c>
      <c r="C12714" s="5" t="s">
        <v>11</v>
      </c>
      <c r="D12714" s="5" t="s">
        <v>12</v>
      </c>
      <c r="E12714" s="5" t="s">
        <v>2251</v>
      </c>
    </row>
    <row r="12715" spans="1:5" x14ac:dyDescent="0.25">
      <c r="A12715" s="5">
        <f>12707</f>
      </c>
      <c r="B12715" s="5" t="s">
        <v>11986</v>
      </c>
      <c r="C12715" s="5" t="s">
        <v>11</v>
      </c>
      <c r="D12715" s="5" t="s">
        <v>12</v>
      </c>
      <c r="E12715" s="5" t="s">
        <v>2251</v>
      </c>
    </row>
    <row r="12716" spans="1:5" x14ac:dyDescent="0.25">
      <c r="A12716" s="5">
        <f>12708</f>
      </c>
      <c r="B12716" s="5" t="s">
        <v>11987</v>
      </c>
      <c r="C12716" s="5" t="s">
        <v>11</v>
      </c>
      <c r="D12716" s="5" t="s">
        <v>12</v>
      </c>
      <c r="E12716" s="5" t="s">
        <v>2251</v>
      </c>
    </row>
    <row r="12717" spans="1:5" x14ac:dyDescent="0.25">
      <c r="A12717" s="5">
        <f>12709</f>
      </c>
      <c r="B12717" s="5" t="s">
        <v>11988</v>
      </c>
      <c r="C12717" s="5" t="s">
        <v>11</v>
      </c>
      <c r="D12717" s="5" t="s">
        <v>12</v>
      </c>
      <c r="E12717" s="5" t="s">
        <v>2251</v>
      </c>
    </row>
    <row r="12718" spans="1:5" x14ac:dyDescent="0.25">
      <c r="A12718" s="5">
        <f>12710</f>
      </c>
      <c r="B12718" s="5" t="s">
        <v>11989</v>
      </c>
      <c r="C12718" s="5" t="s">
        <v>11</v>
      </c>
      <c r="D12718" s="5" t="s">
        <v>12</v>
      </c>
      <c r="E12718" s="5" t="s">
        <v>2251</v>
      </c>
    </row>
    <row r="12719" spans="1:5" x14ac:dyDescent="0.25">
      <c r="A12719" s="5">
        <f>12711</f>
      </c>
      <c r="B12719" s="5" t="s">
        <v>11990</v>
      </c>
      <c r="C12719" s="5" t="s">
        <v>11</v>
      </c>
      <c r="D12719" s="5" t="s">
        <v>12</v>
      </c>
      <c r="E12719" s="5" t="s">
        <v>2251</v>
      </c>
    </row>
    <row r="12720" spans="1:5" x14ac:dyDescent="0.25">
      <c r="A12720" s="5">
        <f>12712</f>
      </c>
      <c r="B12720" s="5" t="s">
        <v>11991</v>
      </c>
      <c r="C12720" s="5" t="s">
        <v>11</v>
      </c>
      <c r="D12720" s="5" t="s">
        <v>12</v>
      </c>
      <c r="E12720" s="5" t="s">
        <v>2251</v>
      </c>
    </row>
    <row r="12721" spans="1:5" x14ac:dyDescent="0.25">
      <c r="A12721" s="5">
        <f>12713</f>
      </c>
      <c r="B12721" s="5" t="s">
        <v>11992</v>
      </c>
      <c r="C12721" s="5" t="s">
        <v>11</v>
      </c>
      <c r="D12721" s="5" t="s">
        <v>12</v>
      </c>
      <c r="E12721" s="5" t="s">
        <v>2251</v>
      </c>
    </row>
    <row r="12722" spans="1:5" x14ac:dyDescent="0.25">
      <c r="A12722" s="5">
        <f>12714</f>
      </c>
      <c r="B12722" s="5" t="s">
        <v>11993</v>
      </c>
      <c r="C12722" s="5" t="s">
        <v>11</v>
      </c>
      <c r="D12722" s="5" t="s">
        <v>12</v>
      </c>
      <c r="E12722" s="5" t="s">
        <v>2251</v>
      </c>
    </row>
    <row r="12723" spans="1:5" x14ac:dyDescent="0.25">
      <c r="A12723" s="5">
        <f>12715</f>
      </c>
      <c r="B12723" s="5" t="s">
        <v>11994</v>
      </c>
      <c r="C12723" s="5" t="s">
        <v>11</v>
      </c>
      <c r="D12723" s="5" t="s">
        <v>12</v>
      </c>
      <c r="E12723" s="5" t="s">
        <v>2251</v>
      </c>
    </row>
    <row r="12724" spans="1:5" x14ac:dyDescent="0.25">
      <c r="A12724" s="5">
        <f>12716</f>
      </c>
      <c r="B12724" s="5" t="s">
        <v>11995</v>
      </c>
      <c r="C12724" s="5" t="s">
        <v>11</v>
      </c>
      <c r="D12724" s="5" t="s">
        <v>12</v>
      </c>
      <c r="E12724" s="5" t="s">
        <v>2251</v>
      </c>
    </row>
    <row r="12725" spans="1:5" x14ac:dyDescent="0.25">
      <c r="A12725" s="5">
        <f>12717</f>
      </c>
      <c r="B12725" s="5" t="s">
        <v>11996</v>
      </c>
      <c r="C12725" s="5" t="s">
        <v>11</v>
      </c>
      <c r="D12725" s="5" t="s">
        <v>12</v>
      </c>
      <c r="E12725" s="5" t="s">
        <v>2251</v>
      </c>
    </row>
    <row r="12726" spans="1:5" x14ac:dyDescent="0.25">
      <c r="A12726" s="5">
        <f>12718</f>
      </c>
      <c r="B12726" s="5" t="s">
        <v>11997</v>
      </c>
      <c r="C12726" s="5" t="s">
        <v>11</v>
      </c>
      <c r="D12726" s="5" t="s">
        <v>12</v>
      </c>
      <c r="E12726" s="5" t="s">
        <v>2251</v>
      </c>
    </row>
    <row r="12727" spans="1:5" x14ac:dyDescent="0.25">
      <c r="A12727" s="5">
        <f>12719</f>
      </c>
      <c r="B12727" s="5" t="s">
        <v>11998</v>
      </c>
      <c r="C12727" s="5" t="s">
        <v>11</v>
      </c>
      <c r="D12727" s="5" t="s">
        <v>12</v>
      </c>
      <c r="E12727" s="5" t="s">
        <v>2251</v>
      </c>
    </row>
    <row r="12728" spans="1:5" x14ac:dyDescent="0.25">
      <c r="A12728" s="5">
        <f>12720</f>
      </c>
      <c r="B12728" s="5" t="s">
        <v>11999</v>
      </c>
      <c r="C12728" s="5" t="s">
        <v>11</v>
      </c>
      <c r="D12728" s="5" t="s">
        <v>12</v>
      </c>
      <c r="E12728" s="5" t="s">
        <v>2251</v>
      </c>
    </row>
    <row r="12729" spans="1:5" x14ac:dyDescent="0.25">
      <c r="A12729" s="5">
        <f>12721</f>
      </c>
      <c r="B12729" s="5" t="s">
        <v>12000</v>
      </c>
      <c r="C12729" s="5" t="s">
        <v>11</v>
      </c>
      <c r="D12729" s="5" t="s">
        <v>12</v>
      </c>
      <c r="E12729" s="5" t="s">
        <v>2251</v>
      </c>
    </row>
    <row r="12730" spans="1:5" x14ac:dyDescent="0.25">
      <c r="A12730" s="5">
        <f>12722</f>
      </c>
      <c r="B12730" s="5" t="s">
        <v>12001</v>
      </c>
      <c r="C12730" s="5" t="s">
        <v>11</v>
      </c>
      <c r="D12730" s="5" t="s">
        <v>12</v>
      </c>
      <c r="E12730" s="5" t="s">
        <v>2251</v>
      </c>
    </row>
    <row r="12731" spans="1:5" x14ac:dyDescent="0.25">
      <c r="A12731" s="5">
        <f>12723</f>
      </c>
      <c r="B12731" s="5" t="s">
        <v>12002</v>
      </c>
      <c r="C12731" s="5" t="s">
        <v>11</v>
      </c>
      <c r="D12731" s="5" t="s">
        <v>12</v>
      </c>
      <c r="E12731" s="5" t="s">
        <v>2251</v>
      </c>
    </row>
    <row r="12732" spans="1:5" x14ac:dyDescent="0.25">
      <c r="A12732" s="5">
        <f>12724</f>
      </c>
      <c r="B12732" s="5" t="s">
        <v>12003</v>
      </c>
      <c r="C12732" s="5" t="s">
        <v>11</v>
      </c>
      <c r="D12732" s="5" t="s">
        <v>12</v>
      </c>
      <c r="E12732" s="5" t="s">
        <v>2251</v>
      </c>
    </row>
    <row r="12733" spans="1:5" x14ac:dyDescent="0.25">
      <c r="A12733" s="5">
        <f>12725</f>
      </c>
      <c r="B12733" s="5" t="s">
        <v>12004</v>
      </c>
      <c r="C12733" s="5" t="s">
        <v>11</v>
      </c>
      <c r="D12733" s="5" t="s">
        <v>12</v>
      </c>
      <c r="E12733" s="5" t="s">
        <v>2251</v>
      </c>
    </row>
    <row r="12734" spans="1:5" x14ac:dyDescent="0.25">
      <c r="A12734" s="5">
        <f>12726</f>
      </c>
      <c r="B12734" s="5" t="s">
        <v>12005</v>
      </c>
      <c r="C12734" s="5" t="s">
        <v>11</v>
      </c>
      <c r="D12734" s="5" t="s">
        <v>12</v>
      </c>
      <c r="E12734" s="5" t="s">
        <v>2251</v>
      </c>
    </row>
    <row r="12735" spans="1:5" x14ac:dyDescent="0.25">
      <c r="A12735" s="5">
        <f>12727</f>
      </c>
      <c r="B12735" s="5" t="s">
        <v>12006</v>
      </c>
      <c r="C12735" s="5" t="s">
        <v>11</v>
      </c>
      <c r="D12735" s="5" t="s">
        <v>12</v>
      </c>
      <c r="E12735" s="5" t="s">
        <v>2251</v>
      </c>
    </row>
    <row r="12736" spans="1:5" x14ac:dyDescent="0.25">
      <c r="A12736" s="5">
        <f>12728</f>
      </c>
      <c r="B12736" s="5" t="s">
        <v>12007</v>
      </c>
      <c r="C12736" s="5" t="s">
        <v>11</v>
      </c>
      <c r="D12736" s="5" t="s">
        <v>12</v>
      </c>
      <c r="E12736" s="5" t="s">
        <v>3962</v>
      </c>
    </row>
    <row r="12737" spans="1:5" x14ac:dyDescent="0.25">
      <c r="A12737" s="5">
        <f>12729</f>
      </c>
      <c r="B12737" s="5" t="s">
        <v>12008</v>
      </c>
      <c r="C12737" s="5" t="s">
        <v>11</v>
      </c>
      <c r="D12737" s="5" t="s">
        <v>12</v>
      </c>
      <c r="E12737" s="5" t="s">
        <v>3962</v>
      </c>
    </row>
    <row r="12738" spans="1:5" x14ac:dyDescent="0.25">
      <c r="A12738" s="5">
        <f>12730</f>
      </c>
      <c r="B12738" s="5" t="s">
        <v>12009</v>
      </c>
      <c r="C12738" s="5" t="s">
        <v>11</v>
      </c>
      <c r="D12738" s="5" t="s">
        <v>12</v>
      </c>
      <c r="E12738" s="5" t="s">
        <v>3962</v>
      </c>
    </row>
    <row r="12739" spans="1:5" x14ac:dyDescent="0.25">
      <c r="A12739" s="5">
        <f>12731</f>
      </c>
      <c r="B12739" s="5" t="s">
        <v>12010</v>
      </c>
      <c r="C12739" s="5" t="s">
        <v>11</v>
      </c>
      <c r="D12739" s="5" t="s">
        <v>12</v>
      </c>
      <c r="E12739" s="5" t="s">
        <v>846</v>
      </c>
    </row>
    <row r="12740" spans="1:5" x14ac:dyDescent="0.25">
      <c r="A12740" s="5">
        <f>12732</f>
      </c>
      <c r="B12740" s="5" t="s">
        <v>12011</v>
      </c>
      <c r="C12740" s="5" t="s">
        <v>11</v>
      </c>
      <c r="D12740" s="5" t="s">
        <v>12</v>
      </c>
      <c r="E12740" s="5" t="s">
        <v>846</v>
      </c>
    </row>
    <row r="12741" spans="1:5" x14ac:dyDescent="0.25">
      <c r="A12741" s="5">
        <f>12733</f>
      </c>
      <c r="B12741" s="5" t="s">
        <v>12012</v>
      </c>
      <c r="C12741" s="5" t="s">
        <v>11</v>
      </c>
      <c r="D12741" s="5" t="s">
        <v>12</v>
      </c>
      <c r="E12741" s="5" t="s">
        <v>2624</v>
      </c>
    </row>
    <row r="12742" spans="1:5" x14ac:dyDescent="0.25">
      <c r="A12742" s="5">
        <f>12734</f>
      </c>
      <c r="B12742" s="5" t="s">
        <v>12013</v>
      </c>
      <c r="C12742" s="5" t="s">
        <v>11</v>
      </c>
      <c r="D12742" s="5" t="s">
        <v>12</v>
      </c>
      <c r="E12742" s="5" t="s">
        <v>2579</v>
      </c>
    </row>
    <row r="12743" spans="1:5" x14ac:dyDescent="0.25">
      <c r="A12743" s="5">
        <f>12735</f>
      </c>
      <c r="B12743" s="5" t="s">
        <v>12014</v>
      </c>
      <c r="C12743" s="5" t="s">
        <v>11</v>
      </c>
      <c r="D12743" s="5" t="s">
        <v>12</v>
      </c>
      <c r="E12743" s="5" t="s">
        <v>2338</v>
      </c>
    </row>
    <row r="12744" spans="1:5" x14ac:dyDescent="0.25">
      <c r="A12744" s="5">
        <f>12736</f>
      </c>
      <c r="B12744" s="5" t="s">
        <v>12015</v>
      </c>
      <c r="C12744" s="5" t="s">
        <v>11</v>
      </c>
      <c r="D12744" s="5" t="s">
        <v>12</v>
      </c>
      <c r="E12744" s="5" t="s">
        <v>3686</v>
      </c>
    </row>
    <row r="12745" spans="1:5" x14ac:dyDescent="0.25">
      <c r="A12745" s="5">
        <f>12737</f>
      </c>
      <c r="B12745" s="5" t="s">
        <v>12016</v>
      </c>
      <c r="C12745" s="5" t="s">
        <v>11</v>
      </c>
      <c r="D12745" s="5" t="s">
        <v>12</v>
      </c>
      <c r="E12745" s="5" t="s">
        <v>1040</v>
      </c>
    </row>
    <row r="12746" spans="1:5" x14ac:dyDescent="0.25">
      <c r="A12746" s="5">
        <f>12738</f>
      </c>
      <c r="B12746" s="5" t="s">
        <v>12017</v>
      </c>
      <c r="C12746" s="5" t="s">
        <v>11</v>
      </c>
      <c r="D12746" s="5" t="s">
        <v>12</v>
      </c>
      <c r="E12746" s="5" t="s">
        <v>3559</v>
      </c>
    </row>
    <row r="12747" spans="1:5" x14ac:dyDescent="0.25">
      <c r="A12747" s="5">
        <f>12739</f>
      </c>
      <c r="B12747" s="5" t="s">
        <v>12018</v>
      </c>
      <c r="C12747" s="5" t="s">
        <v>11</v>
      </c>
      <c r="D12747" s="5" t="s">
        <v>12</v>
      </c>
      <c r="E12747" s="5" t="s">
        <v>2322</v>
      </c>
    </row>
    <row r="12748" spans="1:5" x14ac:dyDescent="0.25">
      <c r="A12748" s="5">
        <f>12740</f>
      </c>
      <c r="B12748" s="5" t="s">
        <v>12019</v>
      </c>
      <c r="C12748" s="5" t="s">
        <v>11</v>
      </c>
      <c r="D12748" s="5" t="s">
        <v>12</v>
      </c>
      <c r="E12748" s="5" t="s">
        <v>2869</v>
      </c>
    </row>
    <row r="12749" spans="1:5" x14ac:dyDescent="0.25">
      <c r="A12749" s="5">
        <f>12741</f>
      </c>
      <c r="B12749" s="5" t="s">
        <v>12020</v>
      </c>
      <c r="C12749" s="5" t="s">
        <v>11</v>
      </c>
      <c r="D12749" s="5" t="s">
        <v>12</v>
      </c>
      <c r="E12749" s="5" t="s">
        <v>1074</v>
      </c>
    </row>
    <row r="12750" spans="1:5" x14ac:dyDescent="0.25">
      <c r="A12750" s="5">
        <f>12742</f>
      </c>
      <c r="B12750" s="5" t="s">
        <v>12021</v>
      </c>
      <c r="C12750" s="5" t="s">
        <v>11</v>
      </c>
      <c r="D12750" s="5" t="s">
        <v>12</v>
      </c>
      <c r="E12750" s="5" t="s">
        <v>720</v>
      </c>
    </row>
    <row r="12751" spans="1:5" x14ac:dyDescent="0.25">
      <c r="A12751" s="5">
        <f>12743</f>
      </c>
      <c r="B12751" s="5" t="s">
        <v>12022</v>
      </c>
      <c r="C12751" s="5" t="s">
        <v>11</v>
      </c>
      <c r="D12751" s="5" t="s">
        <v>12</v>
      </c>
      <c r="E12751" s="5" t="s">
        <v>10683</v>
      </c>
    </row>
    <row r="12752" spans="1:5" x14ac:dyDescent="0.25">
      <c r="A12752" s="5">
        <f>12744</f>
      </c>
      <c r="B12752" s="5" t="s">
        <v>12023</v>
      </c>
      <c r="C12752" s="5" t="s">
        <v>11</v>
      </c>
      <c r="D12752" s="5" t="s">
        <v>12</v>
      </c>
      <c r="E12752" s="5" t="s">
        <v>3674</v>
      </c>
    </row>
    <row r="12753" spans="1:5" x14ac:dyDescent="0.25">
      <c r="A12753" s="5">
        <f>12745</f>
      </c>
      <c r="B12753" s="5" t="s">
        <v>12024</v>
      </c>
      <c r="C12753" s="5" t="s">
        <v>11</v>
      </c>
      <c r="D12753" s="5" t="s">
        <v>12</v>
      </c>
      <c r="E12753" s="5" t="s">
        <v>3488</v>
      </c>
    </row>
    <row r="12754" spans="1:5" x14ac:dyDescent="0.25">
      <c r="A12754" s="5">
        <f>12746</f>
      </c>
      <c r="B12754" s="5" t="s">
        <v>12025</v>
      </c>
      <c r="C12754" s="5" t="s">
        <v>11</v>
      </c>
      <c r="D12754" s="5" t="s">
        <v>12</v>
      </c>
      <c r="E12754" s="5" t="s">
        <v>2821</v>
      </c>
    </row>
    <row r="12755" spans="1:5" x14ac:dyDescent="0.25">
      <c r="A12755" s="5">
        <f>12747</f>
      </c>
      <c r="B12755" s="5" t="s">
        <v>12026</v>
      </c>
      <c r="C12755" s="5" t="s">
        <v>11</v>
      </c>
      <c r="D12755" s="5" t="s">
        <v>12</v>
      </c>
      <c r="E12755" s="5" t="s">
        <v>941</v>
      </c>
    </row>
    <row r="12756" spans="1:5" x14ac:dyDescent="0.25">
      <c r="A12756" s="5">
        <f>12748</f>
      </c>
      <c r="B12756" s="5" t="s">
        <v>12027</v>
      </c>
      <c r="C12756" s="5" t="s">
        <v>11</v>
      </c>
      <c r="D12756" s="5" t="s">
        <v>12</v>
      </c>
      <c r="E12756" s="5" t="s">
        <v>3438</v>
      </c>
    </row>
    <row r="12757" spans="1:5" x14ac:dyDescent="0.25">
      <c r="A12757" s="5">
        <f>12749</f>
      </c>
      <c r="B12757" s="5" t="s">
        <v>12028</v>
      </c>
      <c r="C12757" s="5" t="s">
        <v>11</v>
      </c>
      <c r="D12757" s="5" t="s">
        <v>12</v>
      </c>
      <c r="E12757" s="5" t="s">
        <v>3598</v>
      </c>
    </row>
    <row r="12758" spans="1:5" x14ac:dyDescent="0.25">
      <c r="A12758" s="5">
        <f>12750</f>
      </c>
      <c r="B12758" s="5" t="s">
        <v>12029</v>
      </c>
      <c r="C12758" s="5" t="s">
        <v>11</v>
      </c>
      <c r="D12758" s="5" t="s">
        <v>12</v>
      </c>
      <c r="E12758" s="5" t="s">
        <v>826</v>
      </c>
    </row>
    <row r="12759" spans="1:5" x14ac:dyDescent="0.25">
      <c r="A12759" s="5">
        <f>12751</f>
      </c>
      <c r="B12759" s="5" t="s">
        <v>12030</v>
      </c>
      <c r="C12759" s="5" t="s">
        <v>11</v>
      </c>
      <c r="D12759" s="5" t="s">
        <v>12</v>
      </c>
      <c r="E12759" s="5" t="s">
        <v>924</v>
      </c>
    </row>
    <row r="12760" spans="1:5" x14ac:dyDescent="0.25">
      <c r="A12760" s="5">
        <f>12752</f>
      </c>
      <c r="B12760" s="5" t="s">
        <v>12031</v>
      </c>
      <c r="C12760" s="5" t="s">
        <v>11</v>
      </c>
      <c r="D12760" s="5" t="s">
        <v>12</v>
      </c>
      <c r="E12760" s="5" t="s">
        <v>924</v>
      </c>
    </row>
    <row r="12761" spans="1:5" x14ac:dyDescent="0.25">
      <c r="A12761" s="5">
        <f>12753</f>
      </c>
      <c r="B12761" s="5" t="s">
        <v>12032</v>
      </c>
      <c r="C12761" s="5" t="s">
        <v>11</v>
      </c>
      <c r="D12761" s="5" t="s">
        <v>12</v>
      </c>
      <c r="E12761" s="5" t="s">
        <v>781</v>
      </c>
    </row>
    <row r="12762" spans="1:5" x14ac:dyDescent="0.25">
      <c r="A12762" s="5">
        <f>12754</f>
      </c>
      <c r="B12762" s="5" t="s">
        <v>12033</v>
      </c>
      <c r="C12762" s="5" t="s">
        <v>11</v>
      </c>
      <c r="D12762" s="5" t="s">
        <v>12</v>
      </c>
      <c r="E12762" s="5" t="s">
        <v>945</v>
      </c>
    </row>
    <row r="12763" spans="1:5" x14ac:dyDescent="0.25">
      <c r="A12763" s="5">
        <f>12755</f>
      </c>
      <c r="B12763" s="5" t="s">
        <v>12034</v>
      </c>
      <c r="C12763" s="5" t="s">
        <v>11</v>
      </c>
      <c r="D12763" s="5" t="s">
        <v>12</v>
      </c>
      <c r="E12763" s="5" t="s">
        <v>835</v>
      </c>
    </row>
    <row r="12764" spans="1:5" x14ac:dyDescent="0.25">
      <c r="A12764" s="5">
        <f>12756</f>
      </c>
      <c r="B12764" s="5" t="s">
        <v>12035</v>
      </c>
      <c r="C12764" s="5" t="s">
        <v>11</v>
      </c>
      <c r="D12764" s="5" t="s">
        <v>12</v>
      </c>
      <c r="E12764" s="5" t="s">
        <v>2590</v>
      </c>
    </row>
    <row r="12765" spans="1:5" x14ac:dyDescent="0.25">
      <c r="A12765" s="5">
        <f>12757</f>
      </c>
      <c r="B12765" s="5" t="s">
        <v>12036</v>
      </c>
      <c r="C12765" s="5" t="s">
        <v>11</v>
      </c>
      <c r="D12765" s="5" t="s">
        <v>12</v>
      </c>
      <c r="E12765" s="5" t="s">
        <v>3678</v>
      </c>
    </row>
    <row r="12766" spans="1:5" x14ac:dyDescent="0.25">
      <c r="A12766" s="5">
        <f>12758</f>
      </c>
      <c r="B12766" s="5" t="s">
        <v>12037</v>
      </c>
      <c r="C12766" s="5" t="s">
        <v>11</v>
      </c>
      <c r="D12766" s="5" t="s">
        <v>12</v>
      </c>
      <c r="E12766" s="5" t="s">
        <v>4151</v>
      </c>
    </row>
    <row r="12767" spans="1:5" x14ac:dyDescent="0.25">
      <c r="A12767" s="5">
        <f>12759</f>
      </c>
      <c r="B12767" s="5" t="s">
        <v>12038</v>
      </c>
      <c r="C12767" s="5" t="s">
        <v>11</v>
      </c>
      <c r="D12767" s="5" t="s">
        <v>12</v>
      </c>
      <c r="E12767" s="5" t="s">
        <v>3536</v>
      </c>
    </row>
    <row r="12768" spans="1:5" x14ac:dyDescent="0.25">
      <c r="A12768" s="5">
        <f>12760</f>
      </c>
      <c r="B12768" s="5" t="s">
        <v>12039</v>
      </c>
      <c r="C12768" s="5" t="s">
        <v>11</v>
      </c>
      <c r="D12768" s="5" t="s">
        <v>12</v>
      </c>
      <c r="E12768" s="5" t="s">
        <v>2588</v>
      </c>
    </row>
    <row r="12769" spans="1:5" x14ac:dyDescent="0.25">
      <c r="A12769" s="5">
        <f>12761</f>
      </c>
      <c r="B12769" s="5" t="s">
        <v>12040</v>
      </c>
      <c r="C12769" s="5" t="s">
        <v>11</v>
      </c>
      <c r="D12769" s="5" t="s">
        <v>12</v>
      </c>
      <c r="E12769" s="5" t="s">
        <v>2626</v>
      </c>
    </row>
    <row r="12770" spans="1:5" x14ac:dyDescent="0.25">
      <c r="A12770" s="5">
        <f>12762</f>
      </c>
      <c r="B12770" s="5" t="s">
        <v>12041</v>
      </c>
      <c r="C12770" s="5" t="s">
        <v>11</v>
      </c>
      <c r="D12770" s="5" t="s">
        <v>12</v>
      </c>
      <c r="E12770" s="5" t="s">
        <v>2671</v>
      </c>
    </row>
    <row r="12771" spans="1:5" x14ac:dyDescent="0.25">
      <c r="A12771" s="5">
        <f>12763</f>
      </c>
      <c r="B12771" s="5" t="s">
        <v>12042</v>
      </c>
      <c r="C12771" s="5" t="s">
        <v>11</v>
      </c>
      <c r="D12771" s="5" t="s">
        <v>12</v>
      </c>
      <c r="E12771" s="5" t="s">
        <v>732</v>
      </c>
    </row>
    <row r="12772" spans="1:5" x14ac:dyDescent="0.25">
      <c r="A12772" s="5">
        <f>12764</f>
      </c>
      <c r="B12772" s="5" t="s">
        <v>12043</v>
      </c>
      <c r="C12772" s="5" t="s">
        <v>11</v>
      </c>
      <c r="D12772" s="5" t="s">
        <v>12</v>
      </c>
      <c r="E12772" s="5" t="s">
        <v>732</v>
      </c>
    </row>
    <row r="12773" spans="1:5" x14ac:dyDescent="0.25">
      <c r="A12773" s="5">
        <f>12765</f>
      </c>
      <c r="B12773" s="5" t="s">
        <v>12044</v>
      </c>
      <c r="C12773" s="5" t="s">
        <v>11</v>
      </c>
      <c r="D12773" s="5" t="s">
        <v>12</v>
      </c>
      <c r="E12773" s="5" t="s">
        <v>2241</v>
      </c>
    </row>
    <row r="12774" spans="1:5" x14ac:dyDescent="0.25">
      <c r="A12774" s="5">
        <f>12766</f>
      </c>
      <c r="B12774" s="5" t="s">
        <v>12045</v>
      </c>
      <c r="C12774" s="5" t="s">
        <v>11</v>
      </c>
      <c r="D12774" s="5" t="s">
        <v>12</v>
      </c>
      <c r="E12774" s="5" t="s">
        <v>10618</v>
      </c>
    </row>
    <row r="12775" spans="1:5" x14ac:dyDescent="0.25">
      <c r="A12775" s="5">
        <f>12767</f>
      </c>
      <c r="B12775" s="5" t="s">
        <v>12046</v>
      </c>
      <c r="C12775" s="5" t="s">
        <v>11</v>
      </c>
      <c r="D12775" s="5" t="s">
        <v>12</v>
      </c>
      <c r="E12775" s="5" t="s">
        <v>3490</v>
      </c>
    </row>
    <row r="12776" spans="1:5" x14ac:dyDescent="0.25">
      <c r="A12776" s="5">
        <f>12768</f>
      </c>
      <c r="B12776" s="5" t="s">
        <v>12047</v>
      </c>
      <c r="C12776" s="5" t="s">
        <v>11</v>
      </c>
      <c r="D12776" s="5" t="s">
        <v>12</v>
      </c>
      <c r="E12776" s="5" t="s">
        <v>3490</v>
      </c>
    </row>
    <row r="12777" spans="1:5" x14ac:dyDescent="0.25">
      <c r="A12777" s="5">
        <f>12769</f>
      </c>
      <c r="B12777" s="5" t="s">
        <v>12048</v>
      </c>
      <c r="C12777" s="5" t="s">
        <v>11</v>
      </c>
      <c r="D12777" s="5" t="s">
        <v>12</v>
      </c>
      <c r="E12777" s="5" t="s">
        <v>3506</v>
      </c>
    </row>
    <row r="12778" spans="1:5" x14ac:dyDescent="0.25">
      <c r="A12778" s="5">
        <f>12770</f>
      </c>
      <c r="B12778" s="5" t="s">
        <v>12049</v>
      </c>
      <c r="C12778" s="5" t="s">
        <v>11</v>
      </c>
      <c r="D12778" s="5" t="s">
        <v>12</v>
      </c>
      <c r="E12778" s="5" t="s">
        <v>2398</v>
      </c>
    </row>
    <row r="12779" spans="1:5" x14ac:dyDescent="0.25">
      <c r="A12779" s="5">
        <f>12771</f>
      </c>
      <c r="B12779" s="5" t="s">
        <v>12050</v>
      </c>
      <c r="C12779" s="5" t="s">
        <v>11</v>
      </c>
      <c r="D12779" s="5" t="s">
        <v>12</v>
      </c>
      <c r="E12779" s="5" t="s">
        <v>2626</v>
      </c>
    </row>
    <row r="12780" spans="1:5" x14ac:dyDescent="0.25">
      <c r="A12780" s="5">
        <f>12772</f>
      </c>
      <c r="B12780" s="5" t="s">
        <v>12051</v>
      </c>
      <c r="C12780" s="5" t="s">
        <v>11</v>
      </c>
      <c r="D12780" s="5" t="s">
        <v>12</v>
      </c>
      <c r="E12780" s="5" t="s">
        <v>3962</v>
      </c>
    </row>
    <row r="12781" spans="1:5" x14ac:dyDescent="0.25">
      <c r="A12781" s="5">
        <f>12773</f>
      </c>
      <c r="B12781" s="5" t="s">
        <v>12052</v>
      </c>
      <c r="C12781" s="5" t="s">
        <v>11</v>
      </c>
      <c r="D12781" s="5" t="s">
        <v>12</v>
      </c>
      <c r="E12781" s="5" t="s">
        <v>3962</v>
      </c>
    </row>
    <row r="12782" spans="1:5" x14ac:dyDescent="0.25">
      <c r="A12782" s="5">
        <f>12774</f>
      </c>
      <c r="B12782" s="5" t="s">
        <v>12053</v>
      </c>
      <c r="C12782" s="5" t="s">
        <v>11</v>
      </c>
      <c r="D12782" s="5" t="s">
        <v>12</v>
      </c>
      <c r="E12782" s="5" t="s">
        <v>3962</v>
      </c>
    </row>
    <row r="12783" spans="1:5" x14ac:dyDescent="0.25">
      <c r="A12783" s="5">
        <f>12775</f>
      </c>
      <c r="B12783" s="5" t="s">
        <v>12054</v>
      </c>
      <c r="C12783" s="5" t="s">
        <v>11</v>
      </c>
      <c r="D12783" s="5" t="s">
        <v>12</v>
      </c>
      <c r="E12783" s="5" t="s">
        <v>3962</v>
      </c>
    </row>
    <row r="12784" spans="1:5" x14ac:dyDescent="0.25">
      <c r="A12784" s="5">
        <f>12776</f>
      </c>
      <c r="B12784" s="5" t="s">
        <v>12055</v>
      </c>
      <c r="C12784" s="5" t="s">
        <v>11</v>
      </c>
      <c r="D12784" s="5" t="s">
        <v>12</v>
      </c>
      <c r="E12784" s="5" t="s">
        <v>3962</v>
      </c>
    </row>
    <row r="12785" spans="1:5" x14ac:dyDescent="0.25">
      <c r="A12785" s="5">
        <f>12777</f>
      </c>
      <c r="B12785" s="5" t="s">
        <v>12056</v>
      </c>
      <c r="C12785" s="5" t="s">
        <v>11</v>
      </c>
      <c r="D12785" s="5" t="s">
        <v>12</v>
      </c>
      <c r="E12785" s="5" t="s">
        <v>3962</v>
      </c>
    </row>
    <row r="12786" spans="1:5" x14ac:dyDescent="0.25">
      <c r="A12786" s="5">
        <f>12778</f>
      </c>
      <c r="B12786" s="5" t="s">
        <v>12057</v>
      </c>
      <c r="C12786" s="5" t="s">
        <v>11</v>
      </c>
      <c r="D12786" s="5" t="s">
        <v>12</v>
      </c>
      <c r="E12786" s="5" t="s">
        <v>3962</v>
      </c>
    </row>
    <row r="12787" spans="1:5" x14ac:dyDescent="0.25">
      <c r="A12787" s="5">
        <f>12779</f>
      </c>
      <c r="B12787" s="5" t="s">
        <v>12058</v>
      </c>
      <c r="C12787" s="5" t="s">
        <v>11</v>
      </c>
      <c r="D12787" s="5" t="s">
        <v>12</v>
      </c>
      <c r="E12787" s="5" t="s">
        <v>3962</v>
      </c>
    </row>
    <row r="12788" spans="1:5" x14ac:dyDescent="0.25">
      <c r="A12788" s="5">
        <f>12780</f>
      </c>
      <c r="B12788" s="5" t="s">
        <v>12059</v>
      </c>
      <c r="C12788" s="5" t="s">
        <v>11</v>
      </c>
      <c r="D12788" s="5" t="s">
        <v>12</v>
      </c>
      <c r="E12788" s="5" t="s">
        <v>3962</v>
      </c>
    </row>
    <row r="12789" spans="1:5" x14ac:dyDescent="0.25">
      <c r="A12789" s="5">
        <f>12781</f>
      </c>
      <c r="B12789" s="5" t="s">
        <v>12060</v>
      </c>
      <c r="C12789" s="5" t="s">
        <v>11</v>
      </c>
      <c r="D12789" s="5" t="s">
        <v>12</v>
      </c>
      <c r="E12789" s="5" t="s">
        <v>3962</v>
      </c>
    </row>
    <row r="12790" spans="1:5" x14ac:dyDescent="0.25">
      <c r="A12790" s="5">
        <f>12782</f>
      </c>
      <c r="B12790" s="5" t="s">
        <v>12061</v>
      </c>
      <c r="C12790" s="5" t="s">
        <v>11</v>
      </c>
      <c r="D12790" s="5" t="s">
        <v>12</v>
      </c>
      <c r="E12790" s="5" t="s">
        <v>3962</v>
      </c>
    </row>
    <row r="12791" spans="1:5" x14ac:dyDescent="0.25">
      <c r="A12791" s="5">
        <f>12783</f>
      </c>
      <c r="B12791" s="5" t="s">
        <v>12062</v>
      </c>
      <c r="C12791" s="5" t="s">
        <v>11</v>
      </c>
      <c r="D12791" s="5" t="s">
        <v>12</v>
      </c>
      <c r="E12791" s="5" t="s">
        <v>3962</v>
      </c>
    </row>
    <row r="12792" spans="1:5" x14ac:dyDescent="0.25">
      <c r="A12792" s="5">
        <f>12784</f>
      </c>
      <c r="B12792" s="5" t="s">
        <v>12063</v>
      </c>
      <c r="C12792" s="5" t="s">
        <v>11</v>
      </c>
      <c r="D12792" s="5" t="s">
        <v>12</v>
      </c>
      <c r="E12792" s="5" t="s">
        <v>3962</v>
      </c>
    </row>
    <row r="12793" spans="1:5" x14ac:dyDescent="0.25">
      <c r="A12793" s="5">
        <f>12785</f>
      </c>
      <c r="B12793" s="5" t="s">
        <v>12064</v>
      </c>
      <c r="C12793" s="5" t="s">
        <v>11</v>
      </c>
      <c r="D12793" s="5" t="s">
        <v>12</v>
      </c>
      <c r="E12793" s="5" t="s">
        <v>3962</v>
      </c>
    </row>
    <row r="12794" spans="1:5" x14ac:dyDescent="0.25">
      <c r="A12794" s="5">
        <f>12786</f>
      </c>
      <c r="B12794" s="5" t="s">
        <v>12065</v>
      </c>
      <c r="C12794" s="5" t="s">
        <v>11</v>
      </c>
      <c r="D12794" s="5" t="s">
        <v>12</v>
      </c>
      <c r="E12794" s="5" t="s">
        <v>10618</v>
      </c>
    </row>
    <row r="12795" spans="1:5" x14ac:dyDescent="0.25">
      <c r="A12795" s="5">
        <f>12787</f>
      </c>
      <c r="B12795" s="5" t="s">
        <v>12066</v>
      </c>
      <c r="C12795" s="5" t="s">
        <v>11</v>
      </c>
      <c r="D12795" s="5" t="s">
        <v>12</v>
      </c>
      <c r="E12795" s="5" t="s">
        <v>966</v>
      </c>
    </row>
    <row r="12796" spans="1:5" x14ac:dyDescent="0.25">
      <c r="A12796" s="5">
        <f>12788</f>
      </c>
      <c r="B12796" s="5" t="s">
        <v>12067</v>
      </c>
      <c r="C12796" s="5" t="s">
        <v>11</v>
      </c>
      <c r="D12796" s="5" t="s">
        <v>12</v>
      </c>
      <c r="E12796" s="5" t="s">
        <v>830</v>
      </c>
    </row>
    <row r="12797" spans="1:5" x14ac:dyDescent="0.25">
      <c r="A12797" s="5">
        <f>12789</f>
      </c>
      <c r="B12797" s="5" t="s">
        <v>12068</v>
      </c>
      <c r="C12797" s="5" t="s">
        <v>11</v>
      </c>
      <c r="D12797" s="5" t="s">
        <v>12</v>
      </c>
      <c r="E12797" s="5" t="s">
        <v>830</v>
      </c>
    </row>
    <row r="12798" spans="1:5" x14ac:dyDescent="0.25">
      <c r="A12798" s="5">
        <f>12790</f>
      </c>
      <c r="B12798" s="5" t="s">
        <v>12069</v>
      </c>
      <c r="C12798" s="5" t="s">
        <v>11</v>
      </c>
      <c r="D12798" s="5" t="s">
        <v>12</v>
      </c>
      <c r="E12798" s="5" t="s">
        <v>830</v>
      </c>
    </row>
    <row r="12799" spans="1:5" x14ac:dyDescent="0.25">
      <c r="A12799" s="5">
        <f>12791</f>
      </c>
      <c r="B12799" s="5" t="s">
        <v>12070</v>
      </c>
      <c r="C12799" s="5" t="s">
        <v>11</v>
      </c>
      <c r="D12799" s="5" t="s">
        <v>12</v>
      </c>
      <c r="E12799" s="5" t="s">
        <v>921</v>
      </c>
    </row>
    <row r="12800" spans="1:5" x14ac:dyDescent="0.25">
      <c r="A12800" s="5">
        <f>12792</f>
      </c>
      <c r="B12800" s="5" t="s">
        <v>12071</v>
      </c>
      <c r="C12800" s="5" t="s">
        <v>11</v>
      </c>
      <c r="D12800" s="5" t="s">
        <v>12</v>
      </c>
      <c r="E12800" s="5" t="s">
        <v>3716</v>
      </c>
    </row>
    <row r="12801" spans="1:5" x14ac:dyDescent="0.25">
      <c r="A12801" s="5">
        <f>12793</f>
      </c>
      <c r="B12801" s="5" t="s">
        <v>12072</v>
      </c>
      <c r="C12801" s="5" t="s">
        <v>11</v>
      </c>
      <c r="D12801" s="5" t="s">
        <v>12</v>
      </c>
      <c r="E12801" s="5" t="s">
        <v>2290</v>
      </c>
    </row>
    <row r="12802" spans="1:5" x14ac:dyDescent="0.25">
      <c r="A12802" s="5">
        <f>12794</f>
      </c>
      <c r="B12802" s="5" t="s">
        <v>12073</v>
      </c>
      <c r="C12802" s="5" t="s">
        <v>11</v>
      </c>
      <c r="D12802" s="5" t="s">
        <v>12</v>
      </c>
      <c r="E12802" s="5" t="s">
        <v>4066</v>
      </c>
    </row>
    <row r="12803" spans="1:5" x14ac:dyDescent="0.25">
      <c r="A12803" s="5">
        <f>12795</f>
      </c>
      <c r="B12803" s="5" t="s">
        <v>12074</v>
      </c>
      <c r="C12803" s="5" t="s">
        <v>11</v>
      </c>
      <c r="D12803" s="5" t="s">
        <v>12</v>
      </c>
      <c r="E12803" s="5" t="s">
        <v>3606</v>
      </c>
    </row>
    <row r="12804" spans="1:5" x14ac:dyDescent="0.25">
      <c r="A12804" s="5">
        <f>12796</f>
      </c>
      <c r="B12804" s="5" t="s">
        <v>12075</v>
      </c>
      <c r="C12804" s="5" t="s">
        <v>11</v>
      </c>
      <c r="D12804" s="5" t="s">
        <v>12</v>
      </c>
      <c r="E12804" s="5" t="s">
        <v>2582</v>
      </c>
    </row>
    <row r="12805" spans="1:5" x14ac:dyDescent="0.25">
      <c r="A12805" s="5">
        <f>12797</f>
      </c>
      <c r="B12805" s="5" t="s">
        <v>12076</v>
      </c>
      <c r="C12805" s="5" t="s">
        <v>11</v>
      </c>
      <c r="D12805" s="5" t="s">
        <v>12</v>
      </c>
      <c r="E12805" s="5" t="s">
        <v>3543</v>
      </c>
    </row>
    <row r="12806" spans="1:5" x14ac:dyDescent="0.25">
      <c r="A12806" s="5">
        <f>12798</f>
      </c>
      <c r="B12806" s="5" t="s">
        <v>12077</v>
      </c>
      <c r="C12806" s="5" t="s">
        <v>11</v>
      </c>
      <c r="D12806" s="5" t="s">
        <v>12</v>
      </c>
      <c r="E12806" s="5" t="s">
        <v>919</v>
      </c>
    </row>
    <row r="12807" spans="1:5" x14ac:dyDescent="0.25">
      <c r="A12807" s="5">
        <f>12799</f>
      </c>
      <c r="B12807" s="5" t="s">
        <v>12078</v>
      </c>
      <c r="C12807" s="5" t="s">
        <v>11</v>
      </c>
      <c r="D12807" s="5" t="s">
        <v>12</v>
      </c>
      <c r="E12807" s="5" t="s">
        <v>11438</v>
      </c>
    </row>
    <row r="12808" spans="1:5" x14ac:dyDescent="0.25">
      <c r="A12808" s="5">
        <f>12800</f>
      </c>
      <c r="B12808" s="5" t="s">
        <v>12079</v>
      </c>
      <c r="C12808" s="5" t="s">
        <v>11</v>
      </c>
      <c r="D12808" s="5" t="s">
        <v>12</v>
      </c>
      <c r="E12808" s="5" t="s">
        <v>917</v>
      </c>
    </row>
    <row r="12809" spans="1:5" x14ac:dyDescent="0.25">
      <c r="A12809" s="5">
        <f>12801</f>
      </c>
      <c r="B12809" s="5" t="s">
        <v>12080</v>
      </c>
      <c r="C12809" s="5" t="s">
        <v>11</v>
      </c>
      <c r="D12809" s="5" t="s">
        <v>12</v>
      </c>
      <c r="E12809" s="5" t="s">
        <v>2325</v>
      </c>
    </row>
    <row r="12810" spans="1:5" x14ac:dyDescent="0.25">
      <c r="A12810" s="5">
        <f>12802</f>
      </c>
      <c r="B12810" s="5" t="s">
        <v>12081</v>
      </c>
      <c r="C12810" s="5" t="s">
        <v>11</v>
      </c>
      <c r="D12810" s="5" t="s">
        <v>12</v>
      </c>
      <c r="E12810" s="5" t="s">
        <v>2645</v>
      </c>
    </row>
    <row r="12811" spans="1:5" x14ac:dyDescent="0.25">
      <c r="A12811" s="5">
        <f>12803</f>
      </c>
      <c r="B12811" s="5" t="s">
        <v>12082</v>
      </c>
      <c r="C12811" s="5" t="s">
        <v>11</v>
      </c>
      <c r="D12811" s="5" t="s">
        <v>12</v>
      </c>
      <c r="E12811" s="5" t="s">
        <v>778</v>
      </c>
    </row>
    <row r="12812" spans="1:5" x14ac:dyDescent="0.25">
      <c r="A12812" s="5">
        <f>12804</f>
      </c>
      <c r="B12812" s="5" t="s">
        <v>12083</v>
      </c>
      <c r="C12812" s="5" t="s">
        <v>11</v>
      </c>
      <c r="D12812" s="5" t="s">
        <v>12</v>
      </c>
      <c r="E12812" s="5" t="s">
        <v>9521</v>
      </c>
    </row>
    <row r="12813" spans="1:5" x14ac:dyDescent="0.25">
      <c r="A12813" s="5">
        <f>12805</f>
      </c>
      <c r="B12813" s="5" t="s">
        <v>12084</v>
      </c>
      <c r="C12813" s="5" t="s">
        <v>11</v>
      </c>
      <c r="D12813" s="5" t="s">
        <v>12</v>
      </c>
      <c r="E12813" s="5" t="s">
        <v>3922</v>
      </c>
    </row>
    <row r="12814" spans="1:5" x14ac:dyDescent="0.25">
      <c r="A12814" s="5">
        <f>12806</f>
      </c>
      <c r="B12814" s="5" t="s">
        <v>12085</v>
      </c>
      <c r="C12814" s="5" t="s">
        <v>11</v>
      </c>
      <c r="D12814" s="5" t="s">
        <v>12</v>
      </c>
      <c r="E12814" s="5" t="s">
        <v>2876</v>
      </c>
    </row>
    <row r="12815" spans="1:5" x14ac:dyDescent="0.25">
      <c r="A12815" s="5">
        <f>12807</f>
      </c>
      <c r="B12815" s="5" t="s">
        <v>12086</v>
      </c>
      <c r="C12815" s="5" t="s">
        <v>11</v>
      </c>
      <c r="D12815" s="5" t="s">
        <v>12</v>
      </c>
      <c r="E12815" s="5" t="s">
        <v>11414</v>
      </c>
    </row>
    <row r="12816" spans="1:5" x14ac:dyDescent="0.25">
      <c r="A12816" s="5">
        <f>12808</f>
      </c>
      <c r="B12816" s="5" t="s">
        <v>12087</v>
      </c>
      <c r="C12816" s="5" t="s">
        <v>11</v>
      </c>
      <c r="D12816" s="5" t="s">
        <v>12</v>
      </c>
      <c r="E12816" s="5" t="s">
        <v>938</v>
      </c>
    </row>
    <row r="12817" spans="1:5" x14ac:dyDescent="0.25">
      <c r="A12817" s="5">
        <f>12809</f>
      </c>
      <c r="B12817" s="5" t="s">
        <v>12088</v>
      </c>
      <c r="C12817" s="5" t="s">
        <v>11</v>
      </c>
      <c r="D12817" s="5" t="s">
        <v>12</v>
      </c>
      <c r="E12817" s="5" t="s">
        <v>2624</v>
      </c>
    </row>
    <row r="12818" spans="1:5" x14ac:dyDescent="0.25">
      <c r="A12818" s="5">
        <f>12810</f>
      </c>
      <c r="B12818" s="5" t="s">
        <v>12089</v>
      </c>
      <c r="C12818" s="5" t="s">
        <v>11</v>
      </c>
      <c r="D12818" s="5" t="s">
        <v>12</v>
      </c>
      <c r="E12818" s="5" t="s">
        <v>2619</v>
      </c>
    </row>
    <row r="12819" spans="1:5" x14ac:dyDescent="0.25">
      <c r="A12819" s="5">
        <f>12811</f>
      </c>
      <c r="B12819" s="5" t="s">
        <v>12090</v>
      </c>
      <c r="C12819" s="5" t="s">
        <v>11</v>
      </c>
      <c r="D12819" s="5" t="s">
        <v>12</v>
      </c>
      <c r="E12819" s="5" t="s">
        <v>3869</v>
      </c>
    </row>
    <row r="12820" spans="1:5" x14ac:dyDescent="0.25">
      <c r="A12820" s="5">
        <f>12812</f>
      </c>
      <c r="B12820" s="5" t="s">
        <v>12091</v>
      </c>
      <c r="C12820" s="5" t="s">
        <v>11</v>
      </c>
      <c r="D12820" s="5" t="s">
        <v>12</v>
      </c>
      <c r="E12820" s="5" t="s">
        <v>2665</v>
      </c>
    </row>
    <row r="12821" spans="1:5" x14ac:dyDescent="0.25">
      <c r="A12821" s="5">
        <f>12813</f>
      </c>
      <c r="B12821" s="5" t="s">
        <v>12092</v>
      </c>
      <c r="C12821" s="5" t="s">
        <v>11</v>
      </c>
      <c r="D12821" s="5" t="s">
        <v>12</v>
      </c>
      <c r="E12821" s="5" t="s">
        <v>2335</v>
      </c>
    </row>
    <row r="12822" spans="1:5" x14ac:dyDescent="0.25">
      <c r="A12822" s="5">
        <f>12814</f>
      </c>
      <c r="B12822" s="5" t="s">
        <v>12093</v>
      </c>
      <c r="C12822" s="5" t="s">
        <v>11</v>
      </c>
      <c r="D12822" s="5" t="s">
        <v>12</v>
      </c>
      <c r="E12822" s="5" t="s">
        <v>938</v>
      </c>
    </row>
    <row r="12823" spans="1:5" x14ac:dyDescent="0.25">
      <c r="A12823" s="5">
        <f>12815</f>
      </c>
      <c r="B12823" s="5" t="s">
        <v>12094</v>
      </c>
      <c r="C12823" s="5" t="s">
        <v>11</v>
      </c>
      <c r="D12823" s="5" t="s">
        <v>12</v>
      </c>
      <c r="E12823" s="5" t="s">
        <v>3866</v>
      </c>
    </row>
    <row r="12824" spans="1:5" x14ac:dyDescent="0.25">
      <c r="A12824" s="5">
        <f>12816</f>
      </c>
      <c r="B12824" s="5" t="s">
        <v>12095</v>
      </c>
      <c r="C12824" s="5" t="s">
        <v>11</v>
      </c>
      <c r="D12824" s="5" t="s">
        <v>12</v>
      </c>
      <c r="E12824" s="5" t="s">
        <v>969</v>
      </c>
    </row>
    <row r="12825" spans="1:5" x14ac:dyDescent="0.25">
      <c r="A12825" s="5">
        <f>12817</f>
      </c>
      <c r="B12825" s="5" t="s">
        <v>12096</v>
      </c>
      <c r="C12825" s="5" t="s">
        <v>11</v>
      </c>
      <c r="D12825" s="5" t="s">
        <v>12</v>
      </c>
      <c r="E12825" s="5" t="s">
        <v>2579</v>
      </c>
    </row>
    <row r="12826" spans="1:5" x14ac:dyDescent="0.25">
      <c r="A12826" s="5">
        <f>12818</f>
      </c>
      <c r="B12826" s="5" t="s">
        <v>12097</v>
      </c>
      <c r="C12826" s="5" t="s">
        <v>11</v>
      </c>
      <c r="D12826" s="5" t="s">
        <v>12</v>
      </c>
      <c r="E12826" s="5" t="s">
        <v>830</v>
      </c>
    </row>
    <row r="12827" spans="1:5" x14ac:dyDescent="0.25">
      <c r="A12827" s="5">
        <f>12819</f>
      </c>
      <c r="B12827" s="5" t="s">
        <v>12098</v>
      </c>
      <c r="C12827" s="5" t="s">
        <v>11</v>
      </c>
      <c r="D12827" s="5" t="s">
        <v>12</v>
      </c>
      <c r="E12827" s="5" t="s">
        <v>3610</v>
      </c>
    </row>
    <row r="12828" spans="1:5" x14ac:dyDescent="0.25">
      <c r="A12828" s="5">
        <f>12820</f>
      </c>
      <c r="B12828" s="5" t="s">
        <v>12099</v>
      </c>
      <c r="C12828" s="5" t="s">
        <v>11</v>
      </c>
      <c r="D12828" s="5" t="s">
        <v>12</v>
      </c>
      <c r="E12828" s="5" t="s">
        <v>3610</v>
      </c>
    </row>
    <row r="12829" spans="1:5" x14ac:dyDescent="0.25">
      <c r="A12829" s="5">
        <f>12821</f>
      </c>
      <c r="B12829" s="5" t="s">
        <v>12100</v>
      </c>
      <c r="C12829" s="5" t="s">
        <v>11</v>
      </c>
      <c r="D12829" s="5" t="s">
        <v>12</v>
      </c>
      <c r="E12829" s="5" t="s">
        <v>3518</v>
      </c>
    </row>
    <row r="12830" spans="1:5" x14ac:dyDescent="0.25">
      <c r="A12830" s="5">
        <f>12822</f>
      </c>
      <c r="B12830" s="5" t="s">
        <v>12101</v>
      </c>
      <c r="C12830" s="5" t="s">
        <v>11</v>
      </c>
      <c r="D12830" s="5" t="s">
        <v>12</v>
      </c>
      <c r="E12830" s="5" t="s">
        <v>11475</v>
      </c>
    </row>
    <row r="12831" spans="1:5" x14ac:dyDescent="0.25">
      <c r="A12831" s="5">
        <f>12823</f>
      </c>
      <c r="B12831" s="5" t="s">
        <v>12102</v>
      </c>
      <c r="C12831" s="5" t="s">
        <v>11</v>
      </c>
      <c r="D12831" s="5" t="s">
        <v>12</v>
      </c>
      <c r="E12831" s="5" t="s">
        <v>2407</v>
      </c>
    </row>
    <row r="12832" spans="1:5" x14ac:dyDescent="0.25">
      <c r="A12832" s="5">
        <f>12824</f>
      </c>
      <c r="B12832" s="5" t="s">
        <v>12103</v>
      </c>
      <c r="C12832" s="5" t="s">
        <v>11</v>
      </c>
      <c r="D12832" s="5" t="s">
        <v>12</v>
      </c>
      <c r="E12832" s="5" t="s">
        <v>921</v>
      </c>
    </row>
    <row r="12833" spans="1:5" x14ac:dyDescent="0.25">
      <c r="A12833" s="5">
        <f>12825</f>
      </c>
      <c r="B12833" s="5" t="s">
        <v>12104</v>
      </c>
      <c r="C12833" s="5" t="s">
        <v>11</v>
      </c>
      <c r="D12833" s="5" t="s">
        <v>12</v>
      </c>
      <c r="E12833" s="5" t="s">
        <v>2944</v>
      </c>
    </row>
    <row r="12834" spans="1:5" x14ac:dyDescent="0.25">
      <c r="A12834" s="5">
        <f>12826</f>
      </c>
      <c r="B12834" s="5" t="s">
        <v>12105</v>
      </c>
      <c r="C12834" s="5" t="s">
        <v>11</v>
      </c>
      <c r="D12834" s="5" t="s">
        <v>12</v>
      </c>
      <c r="E12834" s="5" t="s">
        <v>3723</v>
      </c>
    </row>
    <row r="12835" spans="1:5" x14ac:dyDescent="0.25">
      <c r="A12835" s="5">
        <f>12827</f>
      </c>
      <c r="B12835" s="5" t="s">
        <v>12106</v>
      </c>
      <c r="C12835" s="5" t="s">
        <v>11</v>
      </c>
      <c r="D12835" s="5" t="s">
        <v>12</v>
      </c>
      <c r="E12835" s="5" t="s">
        <v>2598</v>
      </c>
    </row>
    <row r="12836" spans="1:5" x14ac:dyDescent="0.25">
      <c r="A12836" s="5">
        <f>12828</f>
      </c>
      <c r="B12836" s="5" t="s">
        <v>12107</v>
      </c>
      <c r="C12836" s="5" t="s">
        <v>11</v>
      </c>
      <c r="D12836" s="5" t="s">
        <v>12</v>
      </c>
      <c r="E12836" s="5" t="s">
        <v>3598</v>
      </c>
    </row>
    <row r="12837" spans="1:5" x14ac:dyDescent="0.25">
      <c r="A12837" s="5">
        <f>12829</f>
      </c>
      <c r="B12837" s="5" t="s">
        <v>12108</v>
      </c>
      <c r="C12837" s="5" t="s">
        <v>11</v>
      </c>
      <c r="D12837" s="5" t="s">
        <v>12</v>
      </c>
      <c r="E12837" s="5" t="s">
        <v>828</v>
      </c>
    </row>
    <row r="12838" spans="1:5" x14ac:dyDescent="0.25">
      <c r="A12838" s="5">
        <f>12830</f>
      </c>
      <c r="B12838" s="5" t="s">
        <v>12109</v>
      </c>
      <c r="C12838" s="5" t="s">
        <v>11</v>
      </c>
      <c r="D12838" s="5" t="s">
        <v>12</v>
      </c>
      <c r="E12838" s="5" t="s">
        <v>3378</v>
      </c>
    </row>
    <row r="12839" spans="1:5" x14ac:dyDescent="0.25">
      <c r="A12839" s="5">
        <f>12831</f>
      </c>
      <c r="B12839" s="5" t="s">
        <v>12110</v>
      </c>
      <c r="C12839" s="5" t="s">
        <v>11</v>
      </c>
      <c r="D12839" s="5" t="s">
        <v>12</v>
      </c>
      <c r="E12839" s="5" t="s">
        <v>762</v>
      </c>
    </row>
    <row r="12840" spans="1:5" x14ac:dyDescent="0.25">
      <c r="A12840" s="5">
        <f>12832</f>
      </c>
      <c r="B12840" s="5" t="s">
        <v>12111</v>
      </c>
      <c r="C12840" s="5" t="s">
        <v>11</v>
      </c>
      <c r="D12840" s="5" t="s">
        <v>12</v>
      </c>
      <c r="E12840" s="5" t="s">
        <v>3433</v>
      </c>
    </row>
    <row r="12841" spans="1:5" x14ac:dyDescent="0.25">
      <c r="A12841" s="5">
        <f>12833</f>
      </c>
      <c r="B12841" s="5" t="s">
        <v>12112</v>
      </c>
      <c r="C12841" s="5" t="s">
        <v>11</v>
      </c>
      <c r="D12841" s="5" t="s">
        <v>12</v>
      </c>
      <c r="E12841" s="5" t="s">
        <v>1051</v>
      </c>
    </row>
    <row r="12842" spans="1:5" x14ac:dyDescent="0.25">
      <c r="A12842" s="5">
        <f>12834</f>
      </c>
      <c r="B12842" s="5" t="s">
        <v>12113</v>
      </c>
      <c r="C12842" s="5" t="s">
        <v>11</v>
      </c>
      <c r="D12842" s="5" t="s">
        <v>12</v>
      </c>
      <c r="E12842" s="5" t="s">
        <v>871</v>
      </c>
    </row>
    <row r="12843" spans="1:5" x14ac:dyDescent="0.25">
      <c r="A12843" s="5">
        <f>12835</f>
      </c>
      <c r="B12843" s="5" t="s">
        <v>12114</v>
      </c>
      <c r="C12843" s="5" t="s">
        <v>11</v>
      </c>
      <c r="D12843" s="5" t="s">
        <v>12</v>
      </c>
      <c r="E12843" s="5" t="s">
        <v>3610</v>
      </c>
    </row>
    <row r="12844" spans="1:5" x14ac:dyDescent="0.25">
      <c r="A12844" s="5">
        <f>12836</f>
      </c>
      <c r="B12844" s="5" t="s">
        <v>12115</v>
      </c>
      <c r="C12844" s="5" t="s">
        <v>11</v>
      </c>
      <c r="D12844" s="5" t="s">
        <v>12</v>
      </c>
      <c r="E12844" s="5" t="s">
        <v>3610</v>
      </c>
    </row>
    <row r="12845" spans="1:5" x14ac:dyDescent="0.25">
      <c r="A12845" s="5">
        <f>12837</f>
      </c>
      <c r="B12845" s="5" t="s">
        <v>12116</v>
      </c>
      <c r="C12845" s="5" t="s">
        <v>11</v>
      </c>
      <c r="D12845" s="5" t="s">
        <v>12</v>
      </c>
      <c r="E12845" s="5" t="s">
        <v>10756</v>
      </c>
    </row>
    <row r="12846" spans="1:5" x14ac:dyDescent="0.25">
      <c r="A12846" s="5">
        <f>12838</f>
      </c>
      <c r="B12846" s="5" t="s">
        <v>12117</v>
      </c>
      <c r="C12846" s="5" t="s">
        <v>11</v>
      </c>
      <c r="D12846" s="5" t="s">
        <v>12</v>
      </c>
      <c r="E12846" s="5" t="s">
        <v>10479</v>
      </c>
    </row>
    <row r="12847" spans="1:5" x14ac:dyDescent="0.25">
      <c r="A12847" s="5">
        <f>12839</f>
      </c>
      <c r="B12847" s="5" t="s">
        <v>12118</v>
      </c>
      <c r="C12847" s="5" t="s">
        <v>11</v>
      </c>
      <c r="D12847" s="5" t="s">
        <v>12</v>
      </c>
      <c r="E12847" s="5" t="s">
        <v>3759</v>
      </c>
    </row>
    <row r="12848" spans="1:5" x14ac:dyDescent="0.25">
      <c r="A12848" s="5">
        <f>12840</f>
      </c>
      <c r="B12848" s="5" t="s">
        <v>12119</v>
      </c>
      <c r="C12848" s="5" t="s">
        <v>11</v>
      </c>
      <c r="D12848" s="5" t="s">
        <v>12</v>
      </c>
      <c r="E12848" s="5" t="s">
        <v>2665</v>
      </c>
    </row>
    <row r="12849" spans="1:5" x14ac:dyDescent="0.25">
      <c r="A12849" s="5">
        <f>12841</f>
      </c>
      <c r="B12849" s="5" t="s">
        <v>12120</v>
      </c>
      <c r="C12849" s="5" t="s">
        <v>11</v>
      </c>
      <c r="D12849" s="5" t="s">
        <v>12</v>
      </c>
      <c r="E12849" s="5" t="s">
        <v>724</v>
      </c>
    </row>
    <row r="12850" spans="1:5" x14ac:dyDescent="0.25">
      <c r="A12850" s="5">
        <f>12842</f>
      </c>
      <c r="B12850" s="5" t="s">
        <v>12121</v>
      </c>
      <c r="C12850" s="5" t="s">
        <v>11</v>
      </c>
      <c r="D12850" s="5" t="s">
        <v>12</v>
      </c>
      <c r="E12850" s="5" t="s">
        <v>3520</v>
      </c>
    </row>
    <row r="12851" spans="1:5" x14ac:dyDescent="0.25">
      <c r="A12851" s="5">
        <f>12843</f>
      </c>
      <c r="B12851" s="5" t="s">
        <v>12122</v>
      </c>
      <c r="C12851" s="5" t="s">
        <v>11</v>
      </c>
      <c r="D12851" s="5" t="s">
        <v>12</v>
      </c>
      <c r="E12851" s="5" t="s">
        <v>2600</v>
      </c>
    </row>
    <row r="12852" spans="1:5" x14ac:dyDescent="0.25">
      <c r="A12852" s="5">
        <f>12844</f>
      </c>
      <c r="B12852" s="5" t="s">
        <v>12123</v>
      </c>
      <c r="C12852" s="5" t="s">
        <v>11</v>
      </c>
      <c r="D12852" s="5" t="s">
        <v>12</v>
      </c>
      <c r="E12852" s="5" t="s">
        <v>10618</v>
      </c>
    </row>
    <row r="12853" spans="1:5" x14ac:dyDescent="0.25">
      <c r="A12853" s="5">
        <f>12845</f>
      </c>
      <c r="B12853" s="5" t="s">
        <v>12124</v>
      </c>
      <c r="C12853" s="5" t="s">
        <v>11</v>
      </c>
      <c r="D12853" s="5" t="s">
        <v>12</v>
      </c>
      <c r="E12853" s="5" t="s">
        <v>2396</v>
      </c>
    </row>
    <row r="12854" spans="1:5" x14ac:dyDescent="0.25">
      <c r="A12854" s="5">
        <f>12846</f>
      </c>
      <c r="B12854" s="5" t="s">
        <v>12125</v>
      </c>
      <c r="C12854" s="5" t="s">
        <v>11</v>
      </c>
      <c r="D12854" s="5" t="s">
        <v>12</v>
      </c>
      <c r="E12854" s="5" t="s">
        <v>2596</v>
      </c>
    </row>
    <row r="12855" spans="1:5" x14ac:dyDescent="0.25">
      <c r="A12855" s="5">
        <f>12847</f>
      </c>
      <c r="B12855" s="5" t="s">
        <v>12126</v>
      </c>
      <c r="C12855" s="5" t="s">
        <v>11</v>
      </c>
      <c r="D12855" s="5" t="s">
        <v>12</v>
      </c>
      <c r="E12855" s="5" t="s">
        <v>3565</v>
      </c>
    </row>
    <row r="12856" spans="1:5" x14ac:dyDescent="0.25">
      <c r="A12856" s="5">
        <f>12848</f>
      </c>
      <c r="B12856" s="5" t="s">
        <v>12127</v>
      </c>
      <c r="C12856" s="5" t="s">
        <v>11</v>
      </c>
      <c r="D12856" s="5" t="s">
        <v>12</v>
      </c>
      <c r="E12856" s="5" t="s">
        <v>2881</v>
      </c>
    </row>
    <row r="12857" spans="1:5" x14ac:dyDescent="0.25">
      <c r="A12857" s="5">
        <f>12849</f>
      </c>
      <c r="B12857" s="5" t="s">
        <v>12128</v>
      </c>
      <c r="C12857" s="5" t="s">
        <v>11</v>
      </c>
      <c r="D12857" s="5" t="s">
        <v>12</v>
      </c>
      <c r="E12857" s="5" t="s">
        <v>2241</v>
      </c>
    </row>
    <row r="12858" spans="1:5" x14ac:dyDescent="0.25">
      <c r="A12858" s="5">
        <f>12850</f>
      </c>
      <c r="B12858" s="5" t="s">
        <v>12129</v>
      </c>
      <c r="C12858" s="5" t="s">
        <v>11</v>
      </c>
      <c r="D12858" s="5" t="s">
        <v>12</v>
      </c>
      <c r="E12858" s="5" t="s">
        <v>2327</v>
      </c>
    </row>
    <row r="12859" spans="1:5" x14ac:dyDescent="0.25">
      <c r="A12859" s="5">
        <f>12851</f>
      </c>
      <c r="B12859" s="5" t="s">
        <v>12130</v>
      </c>
      <c r="C12859" s="5" t="s">
        <v>11</v>
      </c>
      <c r="D12859" s="5" t="s">
        <v>12</v>
      </c>
      <c r="E12859" s="5" t="s">
        <v>2341</v>
      </c>
    </row>
    <row r="12860" spans="1:5" x14ac:dyDescent="0.25">
      <c r="A12860" s="5">
        <f>12852</f>
      </c>
      <c r="B12860" s="5" t="s">
        <v>12131</v>
      </c>
      <c r="C12860" s="5" t="s">
        <v>11</v>
      </c>
      <c r="D12860" s="5" t="s">
        <v>12</v>
      </c>
      <c r="E12860" s="5" t="s">
        <v>2588</v>
      </c>
    </row>
    <row r="12861" spans="1:5" x14ac:dyDescent="0.25">
      <c r="A12861" s="5">
        <f>12853</f>
      </c>
      <c r="B12861" s="5" t="s">
        <v>12132</v>
      </c>
      <c r="C12861" s="5" t="s">
        <v>11</v>
      </c>
      <c r="D12861" s="5" t="s">
        <v>12</v>
      </c>
      <c r="E12861" s="5" t="s">
        <v>770</v>
      </c>
    </row>
    <row r="12862" spans="1:5" x14ac:dyDescent="0.25">
      <c r="A12862" s="5">
        <f>12854</f>
      </c>
      <c r="B12862" s="5" t="s">
        <v>12133</v>
      </c>
      <c r="C12862" s="5" t="s">
        <v>11</v>
      </c>
      <c r="D12862" s="5" t="s">
        <v>12</v>
      </c>
      <c r="E12862" s="5" t="s">
        <v>10878</v>
      </c>
    </row>
    <row r="12863" spans="1:5" x14ac:dyDescent="0.25">
      <c r="A12863" s="5">
        <f>12855</f>
      </c>
      <c r="B12863" s="5" t="s">
        <v>12134</v>
      </c>
      <c r="C12863" s="5" t="s">
        <v>11</v>
      </c>
      <c r="D12863" s="5" t="s">
        <v>12</v>
      </c>
      <c r="E12863" s="5" t="s">
        <v>3561</v>
      </c>
    </row>
    <row r="12864" spans="1:5" x14ac:dyDescent="0.25">
      <c r="A12864" s="5">
        <f>12856</f>
      </c>
      <c r="B12864" s="5" t="s">
        <v>12135</v>
      </c>
      <c r="C12864" s="5" t="s">
        <v>11</v>
      </c>
      <c r="D12864" s="5" t="s">
        <v>12</v>
      </c>
      <c r="E12864" s="5" t="s">
        <v>3561</v>
      </c>
    </row>
    <row r="12865" spans="1:5" x14ac:dyDescent="0.25">
      <c r="A12865" s="5">
        <f>12857</f>
      </c>
      <c r="B12865" s="5" t="s">
        <v>12136</v>
      </c>
      <c r="C12865" s="5" t="s">
        <v>11</v>
      </c>
      <c r="D12865" s="5" t="s">
        <v>12</v>
      </c>
      <c r="E12865" s="5" t="s">
        <v>846</v>
      </c>
    </row>
    <row r="12866" spans="1:5" x14ac:dyDescent="0.25">
      <c r="A12866" s="5">
        <f>12858</f>
      </c>
      <c r="B12866" s="5" t="s">
        <v>12137</v>
      </c>
      <c r="C12866" s="5" t="s">
        <v>11</v>
      </c>
      <c r="D12866" s="5" t="s">
        <v>12</v>
      </c>
      <c r="E12866" s="5" t="s">
        <v>4132</v>
      </c>
    </row>
    <row r="12867" spans="1:5" x14ac:dyDescent="0.25">
      <c r="A12867" s="5">
        <f>12859</f>
      </c>
      <c r="B12867" s="5" t="s">
        <v>12138</v>
      </c>
      <c r="C12867" s="5" t="s">
        <v>11</v>
      </c>
      <c r="D12867" s="5" t="s">
        <v>12</v>
      </c>
      <c r="E12867" s="5" t="s">
        <v>10562</v>
      </c>
    </row>
    <row r="12868" spans="1:5" x14ac:dyDescent="0.25">
      <c r="A12868" s="5">
        <f>12860</f>
      </c>
      <c r="B12868" s="5" t="s">
        <v>12139</v>
      </c>
      <c r="C12868" s="5" t="s">
        <v>11</v>
      </c>
      <c r="D12868" s="5" t="s">
        <v>12</v>
      </c>
      <c r="E12868" s="5" t="s">
        <v>2327</v>
      </c>
    </row>
    <row r="12869" spans="1:5" x14ac:dyDescent="0.25">
      <c r="A12869" s="5">
        <f>12861</f>
      </c>
      <c r="B12869" s="5" t="s">
        <v>12140</v>
      </c>
      <c r="C12869" s="5" t="s">
        <v>11</v>
      </c>
      <c r="D12869" s="5" t="s">
        <v>12</v>
      </c>
      <c r="E12869" s="5" t="s">
        <v>2409</v>
      </c>
    </row>
    <row r="12870" spans="1:5" x14ac:dyDescent="0.25">
      <c r="A12870" s="5">
        <f>12862</f>
      </c>
      <c r="B12870" s="5" t="s">
        <v>12141</v>
      </c>
      <c r="C12870" s="5" t="s">
        <v>11</v>
      </c>
      <c r="D12870" s="5" t="s">
        <v>12</v>
      </c>
      <c r="E12870" s="5" t="s">
        <v>2409</v>
      </c>
    </row>
    <row r="12871" spans="1:5" x14ac:dyDescent="0.25">
      <c r="A12871" s="5">
        <f>12863</f>
      </c>
      <c r="B12871" s="5" t="s">
        <v>12142</v>
      </c>
      <c r="C12871" s="5" t="s">
        <v>11</v>
      </c>
      <c r="D12871" s="5" t="s">
        <v>12</v>
      </c>
      <c r="E12871" s="5" t="s">
        <v>2409</v>
      </c>
    </row>
    <row r="12872" spans="1:5" x14ac:dyDescent="0.25">
      <c r="A12872" s="5">
        <f>12864</f>
      </c>
      <c r="B12872" s="5" t="s">
        <v>12143</v>
      </c>
      <c r="C12872" s="5" t="s">
        <v>11</v>
      </c>
      <c r="D12872" s="5" t="s">
        <v>12</v>
      </c>
      <c r="E12872" s="5" t="s">
        <v>2409</v>
      </c>
    </row>
    <row r="12873" spans="1:5" x14ac:dyDescent="0.25">
      <c r="A12873" s="5">
        <f>12865</f>
      </c>
      <c r="B12873" s="5" t="s">
        <v>12144</v>
      </c>
      <c r="C12873" s="5" t="s">
        <v>11</v>
      </c>
      <c r="D12873" s="5" t="s">
        <v>12</v>
      </c>
      <c r="E12873" s="5" t="s">
        <v>10541</v>
      </c>
    </row>
    <row r="12874" spans="1:5" x14ac:dyDescent="0.25">
      <c r="A12874" s="5">
        <f>12866</f>
      </c>
      <c r="B12874" s="5" t="s">
        <v>12145</v>
      </c>
      <c r="C12874" s="5" t="s">
        <v>11</v>
      </c>
      <c r="D12874" s="5" t="s">
        <v>12</v>
      </c>
      <c r="E12874" s="5" t="s">
        <v>10541</v>
      </c>
    </row>
    <row r="12875" spans="1:5" x14ac:dyDescent="0.25">
      <c r="A12875" s="5">
        <f>12867</f>
      </c>
      <c r="B12875" s="5" t="s">
        <v>12146</v>
      </c>
      <c r="C12875" s="5" t="s">
        <v>11</v>
      </c>
      <c r="D12875" s="5" t="s">
        <v>12</v>
      </c>
      <c r="E12875" s="5" t="s">
        <v>10541</v>
      </c>
    </row>
    <row r="12876" spans="1:5" x14ac:dyDescent="0.25">
      <c r="A12876" s="5">
        <f>12868</f>
      </c>
      <c r="B12876" s="5" t="s">
        <v>12147</v>
      </c>
      <c r="C12876" s="5" t="s">
        <v>11</v>
      </c>
      <c r="D12876" s="5" t="s">
        <v>12</v>
      </c>
      <c r="E12876" s="5" t="s">
        <v>10541</v>
      </c>
    </row>
    <row r="12877" spans="1:5" x14ac:dyDescent="0.25">
      <c r="A12877" s="5">
        <f>12869</f>
      </c>
      <c r="B12877" s="5" t="s">
        <v>12148</v>
      </c>
      <c r="C12877" s="5" t="s">
        <v>11</v>
      </c>
      <c r="D12877" s="5" t="s">
        <v>12</v>
      </c>
      <c r="E12877" s="5" t="s">
        <v>10541</v>
      </c>
    </row>
    <row r="12878" spans="1:5" x14ac:dyDescent="0.25">
      <c r="A12878" s="5">
        <f>12870</f>
      </c>
      <c r="B12878" s="5" t="s">
        <v>12149</v>
      </c>
      <c r="C12878" s="5" t="s">
        <v>11</v>
      </c>
      <c r="D12878" s="5" t="s">
        <v>12</v>
      </c>
      <c r="E12878" s="5" t="s">
        <v>10541</v>
      </c>
    </row>
    <row r="12879" spans="1:5" x14ac:dyDescent="0.25">
      <c r="A12879" s="5">
        <f>12871</f>
      </c>
      <c r="B12879" s="5" t="s">
        <v>12150</v>
      </c>
      <c r="C12879" s="5" t="s">
        <v>11</v>
      </c>
      <c r="D12879" s="5" t="s">
        <v>12</v>
      </c>
      <c r="E12879" s="5" t="s">
        <v>10622</v>
      </c>
    </row>
    <row r="12880" spans="1:5" x14ac:dyDescent="0.25">
      <c r="A12880" s="5">
        <f>12872</f>
      </c>
      <c r="B12880" s="5" t="s">
        <v>12151</v>
      </c>
      <c r="C12880" s="5" t="s">
        <v>11</v>
      </c>
      <c r="D12880" s="5" t="s">
        <v>12</v>
      </c>
      <c r="E12880" s="5" t="s">
        <v>3518</v>
      </c>
    </row>
    <row r="12881" spans="1:5" x14ac:dyDescent="0.25">
      <c r="A12881" s="5">
        <f>12873</f>
      </c>
      <c r="B12881" s="5" t="s">
        <v>12152</v>
      </c>
      <c r="C12881" s="5" t="s">
        <v>11</v>
      </c>
      <c r="D12881" s="5" t="s">
        <v>12</v>
      </c>
      <c r="E12881" s="5" t="s">
        <v>10059</v>
      </c>
    </row>
    <row r="12882" spans="1:5" x14ac:dyDescent="0.25">
      <c r="A12882" s="5">
        <f>12874</f>
      </c>
      <c r="B12882" s="5" t="s">
        <v>12153</v>
      </c>
      <c r="C12882" s="5" t="s">
        <v>11</v>
      </c>
      <c r="D12882" s="5" t="s">
        <v>12</v>
      </c>
      <c r="E12882" s="5" t="s">
        <v>10059</v>
      </c>
    </row>
    <row r="12883" spans="1:5" x14ac:dyDescent="0.25">
      <c r="A12883" s="5">
        <f>12875</f>
      </c>
      <c r="B12883" s="5" t="s">
        <v>12154</v>
      </c>
      <c r="C12883" s="5" t="s">
        <v>11</v>
      </c>
      <c r="D12883" s="5" t="s">
        <v>12</v>
      </c>
      <c r="E12883" s="5" t="s">
        <v>10059</v>
      </c>
    </row>
    <row r="12884" spans="1:5" x14ac:dyDescent="0.25">
      <c r="A12884" s="5">
        <f>12876</f>
      </c>
      <c r="B12884" s="5" t="s">
        <v>12155</v>
      </c>
      <c r="C12884" s="5" t="s">
        <v>11</v>
      </c>
      <c r="D12884" s="5" t="s">
        <v>12</v>
      </c>
      <c r="E12884" s="5" t="s">
        <v>2577</v>
      </c>
    </row>
    <row r="12885" spans="1:5" x14ac:dyDescent="0.25">
      <c r="A12885" s="5">
        <f>12877</f>
      </c>
      <c r="B12885" s="5" t="s">
        <v>12156</v>
      </c>
      <c r="C12885" s="5" t="s">
        <v>11</v>
      </c>
      <c r="D12885" s="5" t="s">
        <v>12</v>
      </c>
      <c r="E12885" s="5" t="s">
        <v>2577</v>
      </c>
    </row>
    <row r="12886" spans="1:5" x14ac:dyDescent="0.25">
      <c r="A12886" s="5">
        <f>12878</f>
      </c>
      <c r="B12886" s="5" t="s">
        <v>12157</v>
      </c>
      <c r="C12886" s="5" t="s">
        <v>11</v>
      </c>
      <c r="D12886" s="5" t="s">
        <v>12</v>
      </c>
      <c r="E12886" s="5" t="s">
        <v>2577</v>
      </c>
    </row>
    <row r="12887" spans="1:5" x14ac:dyDescent="0.25">
      <c r="A12887" s="5">
        <f>12879</f>
      </c>
      <c r="B12887" s="5" t="s">
        <v>12158</v>
      </c>
      <c r="C12887" s="5" t="s">
        <v>11</v>
      </c>
      <c r="D12887" s="5" t="s">
        <v>12</v>
      </c>
      <c r="E12887" s="5" t="s">
        <v>2577</v>
      </c>
    </row>
    <row r="12888" spans="1:5" x14ac:dyDescent="0.25">
      <c r="A12888" s="5">
        <f>12880</f>
      </c>
      <c r="B12888" s="5" t="s">
        <v>12159</v>
      </c>
      <c r="C12888" s="5" t="s">
        <v>11</v>
      </c>
      <c r="D12888" s="5" t="s">
        <v>12</v>
      </c>
      <c r="E12888" s="5" t="s">
        <v>762</v>
      </c>
    </row>
    <row r="12889" spans="1:5" x14ac:dyDescent="0.25">
      <c r="A12889" s="5">
        <f>12881</f>
      </c>
      <c r="B12889" s="5" t="s">
        <v>12160</v>
      </c>
      <c r="C12889" s="5" t="s">
        <v>11</v>
      </c>
      <c r="D12889" s="5" t="s">
        <v>12</v>
      </c>
      <c r="E12889" s="5" t="s">
        <v>762</v>
      </c>
    </row>
    <row r="12890" spans="1:5" x14ac:dyDescent="0.25">
      <c r="A12890" s="5">
        <f>12882</f>
      </c>
      <c r="B12890" s="5" t="s">
        <v>12161</v>
      </c>
      <c r="C12890" s="5" t="s">
        <v>11</v>
      </c>
      <c r="D12890" s="5" t="s">
        <v>12</v>
      </c>
      <c r="E12890" s="5" t="s">
        <v>762</v>
      </c>
    </row>
    <row r="12891" spans="1:5" x14ac:dyDescent="0.25">
      <c r="A12891" s="5">
        <f>12883</f>
      </c>
      <c r="B12891" s="5" t="s">
        <v>12162</v>
      </c>
      <c r="C12891" s="5" t="s">
        <v>11</v>
      </c>
      <c r="D12891" s="5" t="s">
        <v>12</v>
      </c>
      <c r="E12891" s="5" t="s">
        <v>762</v>
      </c>
    </row>
    <row r="12892" spans="1:5" x14ac:dyDescent="0.25">
      <c r="A12892" s="5">
        <f>12884</f>
      </c>
      <c r="B12892" s="5" t="s">
        <v>12163</v>
      </c>
      <c r="C12892" s="5" t="s">
        <v>11</v>
      </c>
      <c r="D12892" s="5" t="s">
        <v>12</v>
      </c>
      <c r="E12892" s="5" t="s">
        <v>762</v>
      </c>
    </row>
    <row r="12893" spans="1:5" x14ac:dyDescent="0.25">
      <c r="A12893" s="5">
        <f>12885</f>
      </c>
      <c r="B12893" s="5" t="s">
        <v>12164</v>
      </c>
      <c r="C12893" s="5" t="s">
        <v>11</v>
      </c>
      <c r="D12893" s="5" t="s">
        <v>12</v>
      </c>
      <c r="E12893" s="5" t="s">
        <v>2241</v>
      </c>
    </row>
    <row r="12894" spans="1:5" x14ac:dyDescent="0.25">
      <c r="A12894" s="5">
        <f>12886</f>
      </c>
      <c r="B12894" s="5" t="s">
        <v>12165</v>
      </c>
      <c r="C12894" s="5" t="s">
        <v>11</v>
      </c>
      <c r="D12894" s="5" t="s">
        <v>12</v>
      </c>
      <c r="E12894" s="5" t="s">
        <v>2241</v>
      </c>
    </row>
    <row r="12895" spans="1:5" x14ac:dyDescent="0.25">
      <c r="A12895" s="5">
        <f>12887</f>
      </c>
      <c r="B12895" s="5" t="s">
        <v>12166</v>
      </c>
      <c r="C12895" s="5" t="s">
        <v>11</v>
      </c>
      <c r="D12895" s="5" t="s">
        <v>12</v>
      </c>
      <c r="E12895" s="5" t="s">
        <v>2241</v>
      </c>
    </row>
    <row r="12896" spans="1:5" x14ac:dyDescent="0.25">
      <c r="A12896" s="5">
        <f>12888</f>
      </c>
      <c r="B12896" s="5" t="s">
        <v>12167</v>
      </c>
      <c r="C12896" s="5" t="s">
        <v>11</v>
      </c>
      <c r="D12896" s="5" t="s">
        <v>12</v>
      </c>
      <c r="E12896" s="5" t="s">
        <v>2262</v>
      </c>
    </row>
    <row r="12897" spans="1:5" x14ac:dyDescent="0.25">
      <c r="A12897" s="5">
        <f>12889</f>
      </c>
      <c r="B12897" s="5" t="s">
        <v>12168</v>
      </c>
      <c r="C12897" s="5" t="s">
        <v>11</v>
      </c>
      <c r="D12897" s="5" t="s">
        <v>12</v>
      </c>
      <c r="E12897" s="5" t="s">
        <v>932</v>
      </c>
    </row>
    <row r="12898" spans="1:5" x14ac:dyDescent="0.25">
      <c r="A12898" s="5">
        <f>12890</f>
      </c>
      <c r="B12898" s="5" t="s">
        <v>12169</v>
      </c>
      <c r="C12898" s="5" t="s">
        <v>11</v>
      </c>
      <c r="D12898" s="5" t="s">
        <v>12</v>
      </c>
      <c r="E12898" s="5" t="s">
        <v>932</v>
      </c>
    </row>
    <row r="12899" spans="1:5" x14ac:dyDescent="0.25">
      <c r="A12899" s="5">
        <f>12891</f>
      </c>
      <c r="B12899" s="5" t="s">
        <v>12170</v>
      </c>
      <c r="C12899" s="5" t="s">
        <v>11</v>
      </c>
      <c r="D12899" s="5" t="s">
        <v>12</v>
      </c>
      <c r="E12899" s="5" t="s">
        <v>2384</v>
      </c>
    </row>
    <row r="12900" spans="1:5" x14ac:dyDescent="0.25">
      <c r="A12900" s="5">
        <f>12892</f>
      </c>
      <c r="B12900" s="5" t="s">
        <v>12171</v>
      </c>
      <c r="C12900" s="5" t="s">
        <v>11</v>
      </c>
      <c r="D12900" s="5" t="s">
        <v>12</v>
      </c>
      <c r="E12900" s="5" t="s">
        <v>2384</v>
      </c>
    </row>
    <row r="12901" spans="1:5" x14ac:dyDescent="0.25">
      <c r="A12901" s="5">
        <f>12893</f>
      </c>
      <c r="B12901" s="5" t="s">
        <v>12172</v>
      </c>
      <c r="C12901" s="5" t="s">
        <v>11</v>
      </c>
      <c r="D12901" s="5" t="s">
        <v>12</v>
      </c>
      <c r="E12901" s="5" t="s">
        <v>2341</v>
      </c>
    </row>
    <row r="12902" spans="1:5" x14ac:dyDescent="0.25">
      <c r="A12902" s="5">
        <f>12894</f>
      </c>
      <c r="B12902" s="5" t="s">
        <v>12173</v>
      </c>
      <c r="C12902" s="5" t="s">
        <v>11</v>
      </c>
      <c r="D12902" s="5" t="s">
        <v>12</v>
      </c>
      <c r="E12902" s="5" t="s">
        <v>2341</v>
      </c>
    </row>
    <row r="12903" spans="1:5" x14ac:dyDescent="0.25">
      <c r="A12903" s="5">
        <f>12895</f>
      </c>
      <c r="B12903" s="5" t="s">
        <v>12174</v>
      </c>
      <c r="C12903" s="5" t="s">
        <v>11</v>
      </c>
      <c r="D12903" s="5" t="s">
        <v>12</v>
      </c>
      <c r="E12903" s="5" t="s">
        <v>2247</v>
      </c>
    </row>
    <row r="12904" spans="1:5" x14ac:dyDescent="0.25">
      <c r="A12904" s="5">
        <f>12896</f>
      </c>
      <c r="B12904" s="5" t="s">
        <v>12175</v>
      </c>
      <c r="C12904" s="5" t="s">
        <v>11</v>
      </c>
      <c r="D12904" s="5" t="s">
        <v>12</v>
      </c>
      <c r="E12904" s="5" t="s">
        <v>4142</v>
      </c>
    </row>
    <row r="12905" spans="1:5" x14ac:dyDescent="0.25">
      <c r="A12905" s="5">
        <f>12897</f>
      </c>
      <c r="B12905" s="5" t="s">
        <v>12176</v>
      </c>
      <c r="C12905" s="5" t="s">
        <v>11</v>
      </c>
      <c r="D12905" s="5" t="s">
        <v>12</v>
      </c>
      <c r="E12905" s="5" t="s">
        <v>4142</v>
      </c>
    </row>
    <row r="12906" spans="1:5" x14ac:dyDescent="0.25">
      <c r="A12906" s="5">
        <f>12898</f>
      </c>
      <c r="B12906" s="5" t="s">
        <v>12177</v>
      </c>
      <c r="C12906" s="5" t="s">
        <v>11</v>
      </c>
      <c r="D12906" s="5" t="s">
        <v>12</v>
      </c>
      <c r="E12906" s="5" t="s">
        <v>4103</v>
      </c>
    </row>
    <row r="12907" spans="1:5" x14ac:dyDescent="0.25">
      <c r="A12907" s="5">
        <f>12899</f>
      </c>
      <c r="B12907" s="5" t="s">
        <v>12178</v>
      </c>
      <c r="C12907" s="5" t="s">
        <v>11</v>
      </c>
      <c r="D12907" s="5" t="s">
        <v>12</v>
      </c>
      <c r="E12907" s="5" t="s">
        <v>2614</v>
      </c>
    </row>
    <row r="12908" spans="1:5" x14ac:dyDescent="0.25">
      <c r="A12908" s="5">
        <f>12900</f>
      </c>
      <c r="B12908" s="5" t="s">
        <v>12179</v>
      </c>
      <c r="C12908" s="5" t="s">
        <v>11</v>
      </c>
      <c r="D12908" s="5" t="s">
        <v>12</v>
      </c>
      <c r="E12908" s="5" t="s">
        <v>10549</v>
      </c>
    </row>
    <row r="12909" spans="1:5" x14ac:dyDescent="0.25">
      <c r="A12909" s="5">
        <f>12901</f>
      </c>
      <c r="B12909" s="5" t="s">
        <v>12180</v>
      </c>
      <c r="C12909" s="5" t="s">
        <v>11</v>
      </c>
      <c r="D12909" s="5" t="s">
        <v>12</v>
      </c>
      <c r="E12909" s="5" t="s">
        <v>2265</v>
      </c>
    </row>
    <row r="12910" spans="1:5" x14ac:dyDescent="0.25">
      <c r="A12910" s="5">
        <f>12902</f>
      </c>
      <c r="B12910" s="5" t="s">
        <v>12181</v>
      </c>
      <c r="C12910" s="5" t="s">
        <v>11</v>
      </c>
      <c r="D12910" s="5" t="s">
        <v>12</v>
      </c>
      <c r="E12910" s="5" t="s">
        <v>2407</v>
      </c>
    </row>
    <row r="12911" spans="1:5" x14ac:dyDescent="0.25">
      <c r="A12911" s="5">
        <f>12903</f>
      </c>
      <c r="B12911" s="5" t="s">
        <v>12182</v>
      </c>
      <c r="C12911" s="5" t="s">
        <v>11</v>
      </c>
      <c r="D12911" s="5" t="s">
        <v>12</v>
      </c>
      <c r="E12911" s="5" t="s">
        <v>2407</v>
      </c>
    </row>
    <row r="12912" spans="1:5" x14ac:dyDescent="0.25">
      <c r="A12912" s="5">
        <f>12904</f>
      </c>
      <c r="B12912" s="5" t="s">
        <v>12183</v>
      </c>
      <c r="C12912" s="5" t="s">
        <v>11</v>
      </c>
      <c r="D12912" s="5" t="s">
        <v>12</v>
      </c>
      <c r="E12912" s="5" t="s">
        <v>2407</v>
      </c>
    </row>
    <row r="12913" spans="1:5" x14ac:dyDescent="0.25">
      <c r="A12913" s="5">
        <f>12905</f>
      </c>
      <c r="B12913" s="5" t="s">
        <v>12184</v>
      </c>
      <c r="C12913" s="5" t="s">
        <v>11</v>
      </c>
      <c r="D12913" s="5" t="s">
        <v>12</v>
      </c>
      <c r="E12913" s="5" t="s">
        <v>2407</v>
      </c>
    </row>
    <row r="12914" spans="1:5" x14ac:dyDescent="0.25">
      <c r="A12914" s="5">
        <f>12906</f>
      </c>
      <c r="B12914" s="5" t="s">
        <v>12185</v>
      </c>
      <c r="C12914" s="5" t="s">
        <v>11</v>
      </c>
      <c r="D12914" s="5" t="s">
        <v>12</v>
      </c>
      <c r="E12914" s="5" t="s">
        <v>4051</v>
      </c>
    </row>
    <row r="12915" spans="1:5" x14ac:dyDescent="0.25">
      <c r="A12915" s="5">
        <f>12907</f>
      </c>
      <c r="B12915" s="5" t="s">
        <v>12186</v>
      </c>
      <c r="C12915" s="5" t="s">
        <v>11</v>
      </c>
      <c r="D12915" s="5" t="s">
        <v>12</v>
      </c>
      <c r="E12915" s="5" t="s">
        <v>4051</v>
      </c>
    </row>
    <row r="12916" spans="1:5" x14ac:dyDescent="0.25">
      <c r="A12916" s="5">
        <f>12908</f>
      </c>
      <c r="B12916" s="5" t="s">
        <v>12187</v>
      </c>
      <c r="C12916" s="5" t="s">
        <v>11</v>
      </c>
      <c r="D12916" s="5" t="s">
        <v>12</v>
      </c>
      <c r="E12916" s="5" t="s">
        <v>4051</v>
      </c>
    </row>
    <row r="12917" spans="1:5" x14ac:dyDescent="0.25">
      <c r="A12917" s="5">
        <f>12909</f>
      </c>
      <c r="B12917" s="5" t="s">
        <v>12188</v>
      </c>
      <c r="C12917" s="5" t="s">
        <v>11</v>
      </c>
      <c r="D12917" s="5" t="s">
        <v>12</v>
      </c>
      <c r="E12917" s="5" t="s">
        <v>4051</v>
      </c>
    </row>
    <row r="12918" spans="1:5" x14ac:dyDescent="0.25">
      <c r="A12918" s="5">
        <f>12910</f>
      </c>
      <c r="B12918" s="5" t="s">
        <v>12189</v>
      </c>
      <c r="C12918" s="5" t="s">
        <v>11</v>
      </c>
      <c r="D12918" s="5" t="s">
        <v>12</v>
      </c>
      <c r="E12918" s="5" t="s">
        <v>871</v>
      </c>
    </row>
    <row r="12919" spans="1:5" x14ac:dyDescent="0.25">
      <c r="A12919" s="5">
        <f>12911</f>
      </c>
      <c r="B12919" s="5" t="s">
        <v>12190</v>
      </c>
      <c r="C12919" s="5" t="s">
        <v>11</v>
      </c>
      <c r="D12919" s="5" t="s">
        <v>12</v>
      </c>
      <c r="E12919" s="5" t="s">
        <v>871</v>
      </c>
    </row>
    <row r="12920" spans="1:5" x14ac:dyDescent="0.25">
      <c r="A12920" s="5">
        <f>12912</f>
      </c>
      <c r="B12920" s="5" t="s">
        <v>12191</v>
      </c>
      <c r="C12920" s="5" t="s">
        <v>11</v>
      </c>
      <c r="D12920" s="5" t="s">
        <v>12</v>
      </c>
      <c r="E12920" s="5" t="s">
        <v>2386</v>
      </c>
    </row>
    <row r="12921" spans="1:5" x14ac:dyDescent="0.25">
      <c r="A12921" s="5">
        <f>12913</f>
      </c>
      <c r="B12921" s="5" t="s">
        <v>12192</v>
      </c>
      <c r="C12921" s="5" t="s">
        <v>11</v>
      </c>
      <c r="D12921" s="5" t="s">
        <v>12</v>
      </c>
      <c r="E12921" s="5" t="s">
        <v>843</v>
      </c>
    </row>
    <row r="12922" spans="1:5" x14ac:dyDescent="0.25">
      <c r="A12922" s="5">
        <f>12914</f>
      </c>
      <c r="B12922" s="5" t="s">
        <v>12193</v>
      </c>
      <c r="C12922" s="5" t="s">
        <v>11</v>
      </c>
      <c r="D12922" s="5" t="s">
        <v>12</v>
      </c>
      <c r="E12922" s="5" t="s">
        <v>4103</v>
      </c>
    </row>
    <row r="12923" spans="1:5" x14ac:dyDescent="0.25">
      <c r="A12923" s="5">
        <f>12915</f>
      </c>
      <c r="B12923" s="5" t="s">
        <v>12194</v>
      </c>
      <c r="C12923" s="5" t="s">
        <v>11</v>
      </c>
      <c r="D12923" s="5" t="s">
        <v>12</v>
      </c>
      <c r="E12923" s="5" t="s">
        <v>959</v>
      </c>
    </row>
    <row r="12924" spans="1:5" x14ac:dyDescent="0.25">
      <c r="A12924" s="5">
        <f>12916</f>
      </c>
      <c r="B12924" s="5" t="s">
        <v>12195</v>
      </c>
      <c r="C12924" s="5" t="s">
        <v>11</v>
      </c>
      <c r="D12924" s="5" t="s">
        <v>12</v>
      </c>
      <c r="E12924" s="5" t="s">
        <v>3518</v>
      </c>
    </row>
    <row r="12925" spans="1:5" x14ac:dyDescent="0.25">
      <c r="A12925" s="5">
        <f>12917</f>
      </c>
      <c r="B12925" s="5" t="s">
        <v>12196</v>
      </c>
      <c r="C12925" s="5" t="s">
        <v>11</v>
      </c>
      <c r="D12925" s="5" t="s">
        <v>12</v>
      </c>
      <c r="E12925" s="5" t="s">
        <v>1040</v>
      </c>
    </row>
    <row r="12926" spans="1:5" x14ac:dyDescent="0.25">
      <c r="A12926" s="5">
        <f>12918</f>
      </c>
      <c r="B12926" s="5" t="s">
        <v>12197</v>
      </c>
      <c r="C12926" s="5" t="s">
        <v>11</v>
      </c>
      <c r="D12926" s="5" t="s">
        <v>12</v>
      </c>
      <c r="E12926" s="5" t="s">
        <v>963</v>
      </c>
    </row>
    <row r="12927" spans="1:5" x14ac:dyDescent="0.25">
      <c r="A12927" s="5">
        <f>12919</f>
      </c>
      <c r="B12927" s="5" t="s">
        <v>12198</v>
      </c>
      <c r="C12927" s="5" t="s">
        <v>11</v>
      </c>
      <c r="D12927" s="5" t="s">
        <v>12</v>
      </c>
      <c r="E12927" s="5" t="s">
        <v>963</v>
      </c>
    </row>
    <row r="12928" spans="1:5" x14ac:dyDescent="0.25">
      <c r="A12928" s="5">
        <f>12920</f>
      </c>
      <c r="B12928" s="5" t="s">
        <v>12199</v>
      </c>
      <c r="C12928" s="5" t="s">
        <v>11</v>
      </c>
      <c r="D12928" s="5" t="s">
        <v>12</v>
      </c>
      <c r="E12928" s="5" t="s">
        <v>10622</v>
      </c>
    </row>
    <row r="12929" spans="1:5" x14ac:dyDescent="0.25">
      <c r="A12929" s="5">
        <f>12921</f>
      </c>
      <c r="B12929" s="5" t="s">
        <v>12200</v>
      </c>
      <c r="C12929" s="5" t="s">
        <v>11</v>
      </c>
      <c r="D12929" s="5" t="s">
        <v>12</v>
      </c>
      <c r="E12929" s="5" t="s">
        <v>10622</v>
      </c>
    </row>
    <row r="12930" spans="1:5" x14ac:dyDescent="0.25">
      <c r="A12930" s="5">
        <f>12922</f>
      </c>
      <c r="B12930" s="5" t="s">
        <v>12201</v>
      </c>
      <c r="C12930" s="5" t="s">
        <v>11</v>
      </c>
      <c r="D12930" s="5" t="s">
        <v>12</v>
      </c>
      <c r="E12930" s="5" t="s">
        <v>10622</v>
      </c>
    </row>
    <row r="12931" spans="1:5" x14ac:dyDescent="0.25">
      <c r="A12931" s="5">
        <f>12923</f>
      </c>
      <c r="B12931" s="5" t="s">
        <v>12202</v>
      </c>
      <c r="C12931" s="5" t="s">
        <v>11</v>
      </c>
      <c r="D12931" s="5" t="s">
        <v>12</v>
      </c>
      <c r="E12931" s="5" t="s">
        <v>4120</v>
      </c>
    </row>
    <row r="12932" spans="1:5" x14ac:dyDescent="0.25">
      <c r="A12932" s="5">
        <f>12924</f>
      </c>
      <c r="B12932" s="5" t="s">
        <v>12203</v>
      </c>
      <c r="C12932" s="5" t="s">
        <v>11</v>
      </c>
      <c r="D12932" s="5" t="s">
        <v>12</v>
      </c>
      <c r="E12932" s="5" t="s">
        <v>736</v>
      </c>
    </row>
    <row r="12933" spans="1:5" x14ac:dyDescent="0.25">
      <c r="A12933" s="5">
        <f>12925</f>
      </c>
      <c r="B12933" s="5" t="s">
        <v>12204</v>
      </c>
      <c r="C12933" s="5" t="s">
        <v>11</v>
      </c>
      <c r="D12933" s="5" t="s">
        <v>12</v>
      </c>
      <c r="E12933" s="5" t="s">
        <v>736</v>
      </c>
    </row>
    <row r="12934" spans="1:5" x14ac:dyDescent="0.25">
      <c r="A12934" s="5">
        <f>12926</f>
      </c>
      <c r="B12934" s="5" t="s">
        <v>12205</v>
      </c>
      <c r="C12934" s="5" t="s">
        <v>11</v>
      </c>
      <c r="D12934" s="5" t="s">
        <v>12</v>
      </c>
      <c r="E12934" s="5" t="s">
        <v>972</v>
      </c>
    </row>
    <row r="12935" spans="1:5" x14ac:dyDescent="0.25">
      <c r="A12935" s="5">
        <f>12927</f>
      </c>
      <c r="B12935" s="5" t="s">
        <v>12206</v>
      </c>
      <c r="C12935" s="5" t="s">
        <v>11</v>
      </c>
      <c r="D12935" s="5" t="s">
        <v>12</v>
      </c>
      <c r="E12935" s="5" t="s">
        <v>972</v>
      </c>
    </row>
    <row r="12936" spans="1:5" x14ac:dyDescent="0.25">
      <c r="A12936" s="5">
        <f>12928</f>
      </c>
      <c r="B12936" s="5" t="s">
        <v>12207</v>
      </c>
      <c r="C12936" s="5" t="s">
        <v>11</v>
      </c>
      <c r="D12936" s="5" t="s">
        <v>12</v>
      </c>
      <c r="E12936" s="5" t="s">
        <v>828</v>
      </c>
    </row>
    <row r="12937" spans="1:5" x14ac:dyDescent="0.25">
      <c r="A12937" s="5">
        <f>12929</f>
      </c>
      <c r="B12937" s="5" t="s">
        <v>12208</v>
      </c>
      <c r="C12937" s="5" t="s">
        <v>11</v>
      </c>
      <c r="D12937" s="5" t="s">
        <v>12</v>
      </c>
      <c r="E12937" s="5" t="s">
        <v>2610</v>
      </c>
    </row>
    <row r="12938" spans="1:5" x14ac:dyDescent="0.25">
      <c r="A12938" s="5">
        <f>12930</f>
      </c>
      <c r="B12938" s="5" t="s">
        <v>12209</v>
      </c>
      <c r="C12938" s="5" t="s">
        <v>11</v>
      </c>
      <c r="D12938" s="5" t="s">
        <v>12</v>
      </c>
      <c r="E12938" s="5" t="s">
        <v>3500</v>
      </c>
    </row>
    <row r="12939" spans="1:5" x14ac:dyDescent="0.25">
      <c r="A12939" s="5">
        <f>12931</f>
      </c>
      <c r="B12939" s="5" t="s">
        <v>12210</v>
      </c>
      <c r="C12939" s="5" t="s">
        <v>11</v>
      </c>
      <c r="D12939" s="5" t="s">
        <v>12</v>
      </c>
      <c r="E12939" s="5" t="s">
        <v>846</v>
      </c>
    </row>
    <row r="12940" spans="1:5" x14ac:dyDescent="0.25">
      <c r="A12940" s="5">
        <f>12932</f>
      </c>
      <c r="B12940" s="5" t="s">
        <v>12211</v>
      </c>
      <c r="C12940" s="5" t="s">
        <v>11</v>
      </c>
      <c r="D12940" s="5" t="s">
        <v>12</v>
      </c>
      <c r="E12940" s="5" t="s">
        <v>722</v>
      </c>
    </row>
    <row r="12941" spans="1:5" x14ac:dyDescent="0.25">
      <c r="A12941" s="5">
        <f>12933</f>
      </c>
      <c r="B12941" s="5" t="s">
        <v>12212</v>
      </c>
      <c r="C12941" s="5" t="s">
        <v>11</v>
      </c>
      <c r="D12941" s="5" t="s">
        <v>12</v>
      </c>
      <c r="E12941" s="5" t="s">
        <v>3879</v>
      </c>
    </row>
    <row r="12942" spans="1:5" x14ac:dyDescent="0.25">
      <c r="A12942" s="5">
        <f>12934</f>
      </c>
      <c r="B12942" s="5" t="s">
        <v>12213</v>
      </c>
      <c r="C12942" s="5" t="s">
        <v>11</v>
      </c>
      <c r="D12942" s="5" t="s">
        <v>12</v>
      </c>
      <c r="E12942" s="5" t="s">
        <v>2302</v>
      </c>
    </row>
    <row r="12943" spans="1:5" x14ac:dyDescent="0.25">
      <c r="A12943" s="5">
        <f>12935</f>
      </c>
      <c r="B12943" s="5" t="s">
        <v>12214</v>
      </c>
      <c r="C12943" s="5" t="s">
        <v>11</v>
      </c>
      <c r="D12943" s="5" t="s">
        <v>12</v>
      </c>
      <c r="E12943" s="5" t="s">
        <v>921</v>
      </c>
    </row>
    <row r="12944" spans="1:5" x14ac:dyDescent="0.25">
      <c r="A12944" s="5">
        <f>12936</f>
      </c>
      <c r="B12944" s="5" t="s">
        <v>12215</v>
      </c>
      <c r="C12944" s="5" t="s">
        <v>11</v>
      </c>
      <c r="D12944" s="5" t="s">
        <v>12</v>
      </c>
      <c r="E12944" s="5" t="s">
        <v>3530</v>
      </c>
    </row>
    <row r="12945" spans="1:5" x14ac:dyDescent="0.25">
      <c r="A12945" s="5">
        <f>12937</f>
      </c>
      <c r="B12945" s="5" t="s">
        <v>12216</v>
      </c>
      <c r="C12945" s="5" t="s">
        <v>11</v>
      </c>
      <c r="D12945" s="5" t="s">
        <v>12</v>
      </c>
      <c r="E12945" s="5" t="s">
        <v>3604</v>
      </c>
    </row>
    <row r="12946" spans="1:5" x14ac:dyDescent="0.25">
      <c r="A12946" s="5">
        <f>12938</f>
      </c>
      <c r="B12946" s="5" t="s">
        <v>12217</v>
      </c>
      <c r="C12946" s="5" t="s">
        <v>11</v>
      </c>
      <c r="D12946" s="5" t="s">
        <v>12</v>
      </c>
      <c r="E12946" s="5" t="s">
        <v>3604</v>
      </c>
    </row>
    <row r="12947" spans="1:5" x14ac:dyDescent="0.25">
      <c r="A12947" s="5">
        <f>12939</f>
      </c>
      <c r="B12947" s="5" t="s">
        <v>12218</v>
      </c>
      <c r="C12947" s="5" t="s">
        <v>11</v>
      </c>
      <c r="D12947" s="5" t="s">
        <v>12</v>
      </c>
      <c r="E12947" s="5" t="s">
        <v>999</v>
      </c>
    </row>
    <row r="12948" spans="1:5" x14ac:dyDescent="0.25">
      <c r="A12948" s="5">
        <f>12940</f>
      </c>
      <c r="B12948" s="5" t="s">
        <v>12219</v>
      </c>
      <c r="C12948" s="5" t="s">
        <v>11</v>
      </c>
      <c r="D12948" s="5" t="s">
        <v>12</v>
      </c>
      <c r="E12948" s="5" t="s">
        <v>2335</v>
      </c>
    </row>
    <row r="12949" spans="1:5" x14ac:dyDescent="0.25">
      <c r="A12949" s="5">
        <f>12941</f>
      </c>
      <c r="B12949" s="5" t="s">
        <v>12220</v>
      </c>
      <c r="C12949" s="5" t="s">
        <v>11</v>
      </c>
      <c r="D12949" s="5" t="s">
        <v>12</v>
      </c>
      <c r="E12949" s="5" t="s">
        <v>3490</v>
      </c>
    </row>
    <row r="12950" spans="1:5" x14ac:dyDescent="0.25">
      <c r="A12950" s="5">
        <f>12942</f>
      </c>
      <c r="B12950" s="5" t="s">
        <v>12221</v>
      </c>
      <c r="C12950" s="5" t="s">
        <v>11</v>
      </c>
      <c r="D12950" s="5" t="s">
        <v>12</v>
      </c>
      <c r="E12950" s="5" t="s">
        <v>2404</v>
      </c>
    </row>
    <row r="12951" spans="1:5" x14ac:dyDescent="0.25">
      <c r="A12951" s="5">
        <f>12943</f>
      </c>
      <c r="B12951" s="5" t="s">
        <v>12222</v>
      </c>
      <c r="C12951" s="5" t="s">
        <v>11</v>
      </c>
      <c r="D12951" s="5" t="s">
        <v>12</v>
      </c>
      <c r="E12951" s="5" t="s">
        <v>3927</v>
      </c>
    </row>
    <row r="12952" spans="1:5" x14ac:dyDescent="0.25">
      <c r="A12952" s="5">
        <f>12944</f>
      </c>
      <c r="B12952" s="5" t="s">
        <v>12223</v>
      </c>
      <c r="C12952" s="5" t="s">
        <v>11</v>
      </c>
      <c r="D12952" s="5" t="s">
        <v>12</v>
      </c>
      <c r="E12952" s="5" t="s">
        <v>1022</v>
      </c>
    </row>
    <row r="12953" spans="1:5" x14ac:dyDescent="0.25">
      <c r="A12953" s="5">
        <f>12945</f>
      </c>
      <c r="B12953" s="5" t="s">
        <v>12224</v>
      </c>
      <c r="C12953" s="5" t="s">
        <v>11</v>
      </c>
      <c r="D12953" s="5" t="s">
        <v>12</v>
      </c>
      <c r="E12953" s="5" t="s">
        <v>1056</v>
      </c>
    </row>
    <row r="12954" spans="1:5" x14ac:dyDescent="0.25">
      <c r="A12954" s="5">
        <f>12946</f>
      </c>
      <c r="B12954" s="5" t="s">
        <v>12225</v>
      </c>
      <c r="C12954" s="5" t="s">
        <v>11</v>
      </c>
      <c r="D12954" s="5" t="s">
        <v>12</v>
      </c>
      <c r="E12954" s="5" t="s">
        <v>3774</v>
      </c>
    </row>
    <row r="12955" spans="1:5" x14ac:dyDescent="0.25">
      <c r="A12955" s="5">
        <f>12947</f>
      </c>
      <c r="B12955" s="5" t="s">
        <v>12226</v>
      </c>
      <c r="C12955" s="5" t="s">
        <v>11</v>
      </c>
      <c r="D12955" s="5" t="s">
        <v>12</v>
      </c>
      <c r="E12955" s="5" t="s">
        <v>843</v>
      </c>
    </row>
    <row r="12956" spans="1:5" x14ac:dyDescent="0.25">
      <c r="A12956" s="5">
        <f>12948</f>
      </c>
      <c r="B12956" s="5" t="s">
        <v>12227</v>
      </c>
      <c r="C12956" s="5" t="s">
        <v>11</v>
      </c>
      <c r="D12956" s="5" t="s">
        <v>12</v>
      </c>
      <c r="E12956" s="5" t="s">
        <v>2307</v>
      </c>
    </row>
    <row r="12957" spans="1:5" x14ac:dyDescent="0.25">
      <c r="A12957" s="5">
        <f>12949</f>
      </c>
      <c r="B12957" s="5" t="s">
        <v>12228</v>
      </c>
      <c r="C12957" s="5" t="s">
        <v>11</v>
      </c>
      <c r="D12957" s="5" t="s">
        <v>12</v>
      </c>
      <c r="E12957" s="5" t="s">
        <v>10660</v>
      </c>
    </row>
    <row r="12958" spans="1:5" x14ac:dyDescent="0.25">
      <c r="A12958" s="5">
        <f>12950</f>
      </c>
      <c r="B12958" s="5" t="s">
        <v>12229</v>
      </c>
      <c r="C12958" s="5" t="s">
        <v>11</v>
      </c>
      <c r="D12958" s="5" t="s">
        <v>12</v>
      </c>
      <c r="E12958" s="5" t="s">
        <v>2661</v>
      </c>
    </row>
    <row r="12959" spans="1:5" x14ac:dyDescent="0.25">
      <c r="A12959" s="5">
        <f>12951</f>
      </c>
      <c r="B12959" s="5" t="s">
        <v>12230</v>
      </c>
      <c r="C12959" s="5" t="s">
        <v>11</v>
      </c>
      <c r="D12959" s="5" t="s">
        <v>12</v>
      </c>
      <c r="E12959" s="5" t="s">
        <v>969</v>
      </c>
    </row>
    <row r="12960" spans="1:5" x14ac:dyDescent="0.25">
      <c r="A12960" s="5">
        <f>12952</f>
      </c>
      <c r="B12960" s="5" t="s">
        <v>12231</v>
      </c>
      <c r="C12960" s="5" t="s">
        <v>11</v>
      </c>
      <c r="D12960" s="5" t="s">
        <v>12</v>
      </c>
      <c r="E12960" s="5" t="s">
        <v>2241</v>
      </c>
    </row>
    <row r="12961" spans="1:5" x14ac:dyDescent="0.25">
      <c r="A12961" s="5">
        <f>12953</f>
      </c>
      <c r="B12961" s="5" t="s">
        <v>12232</v>
      </c>
      <c r="C12961" s="5" t="s">
        <v>11</v>
      </c>
      <c r="D12961" s="5" t="s">
        <v>12</v>
      </c>
      <c r="E12961" s="5" t="s">
        <v>3569</v>
      </c>
    </row>
    <row r="12962" spans="1:5" x14ac:dyDescent="0.25">
      <c r="A12962" s="5">
        <f>12954</f>
      </c>
      <c r="B12962" s="5" t="s">
        <v>12233</v>
      </c>
      <c r="C12962" s="5" t="s">
        <v>11</v>
      </c>
      <c r="D12962" s="5" t="s">
        <v>12</v>
      </c>
      <c r="E12962" s="5" t="s">
        <v>3433</v>
      </c>
    </row>
    <row r="12963" spans="1:5" x14ac:dyDescent="0.25">
      <c r="A12963" s="5">
        <f>12955</f>
      </c>
      <c r="B12963" s="5" t="s">
        <v>12234</v>
      </c>
      <c r="C12963" s="5" t="s">
        <v>11</v>
      </c>
      <c r="D12963" s="5" t="s">
        <v>12</v>
      </c>
      <c r="E12963" s="5" t="s">
        <v>3430</v>
      </c>
    </row>
    <row r="12964" spans="1:5" x14ac:dyDescent="0.25">
      <c r="A12964" s="5">
        <f>12956</f>
      </c>
      <c r="B12964" s="5" t="s">
        <v>12235</v>
      </c>
      <c r="C12964" s="5" t="s">
        <v>11</v>
      </c>
      <c r="D12964" s="5" t="s">
        <v>12</v>
      </c>
      <c r="E12964" s="5" t="s">
        <v>2331</v>
      </c>
    </row>
    <row r="12965" spans="1:5" x14ac:dyDescent="0.25">
      <c r="A12965" s="5">
        <f>12957</f>
      </c>
      <c r="B12965" s="5" t="s">
        <v>12236</v>
      </c>
      <c r="C12965" s="5" t="s">
        <v>11</v>
      </c>
      <c r="D12965" s="5" t="s">
        <v>12</v>
      </c>
      <c r="E12965" s="5" t="s">
        <v>3488</v>
      </c>
    </row>
    <row r="12966" spans="1:5" x14ac:dyDescent="0.25">
      <c r="A12966" s="5">
        <f>12958</f>
      </c>
      <c r="B12966" s="5" t="s">
        <v>12237</v>
      </c>
      <c r="C12966" s="5" t="s">
        <v>11</v>
      </c>
      <c r="D12966" s="5" t="s">
        <v>12</v>
      </c>
      <c r="E12966" s="5" t="s">
        <v>2389</v>
      </c>
    </row>
    <row r="12967" spans="1:5" x14ac:dyDescent="0.25">
      <c r="A12967" s="5">
        <f>12959</f>
      </c>
      <c r="B12967" s="5" t="s">
        <v>12238</v>
      </c>
      <c r="C12967" s="5" t="s">
        <v>11</v>
      </c>
      <c r="D12967" s="5" t="s">
        <v>12</v>
      </c>
      <c r="E12967" s="5" t="s">
        <v>932</v>
      </c>
    </row>
    <row r="12968" spans="1:5" x14ac:dyDescent="0.25">
      <c r="A12968" s="5">
        <f>12960</f>
      </c>
      <c r="B12968" s="5" t="s">
        <v>12239</v>
      </c>
      <c r="C12968" s="5" t="s">
        <v>11</v>
      </c>
      <c r="D12968" s="5" t="s">
        <v>12</v>
      </c>
      <c r="E12968" s="5" t="s">
        <v>2624</v>
      </c>
    </row>
    <row r="12969" spans="1:5" x14ac:dyDescent="0.25">
      <c r="A12969" s="5">
        <f>12961</f>
      </c>
      <c r="B12969" s="5" t="s">
        <v>12240</v>
      </c>
      <c r="C12969" s="5" t="s">
        <v>11</v>
      </c>
      <c r="D12969" s="5" t="s">
        <v>12</v>
      </c>
      <c r="E12969" s="5" t="s">
        <v>930</v>
      </c>
    </row>
    <row r="12970" spans="1:5" x14ac:dyDescent="0.25">
      <c r="A12970" s="5">
        <f>12962</f>
      </c>
      <c r="B12970" s="5" t="s">
        <v>12241</v>
      </c>
      <c r="C12970" s="5" t="s">
        <v>11</v>
      </c>
      <c r="D12970" s="5" t="s">
        <v>12</v>
      </c>
      <c r="E12970" s="5" t="s">
        <v>10660</v>
      </c>
    </row>
    <row r="12971" spans="1:5" x14ac:dyDescent="0.25">
      <c r="A12971" s="5">
        <f>12963</f>
      </c>
      <c r="B12971" s="5" t="s">
        <v>12242</v>
      </c>
      <c r="C12971" s="5" t="s">
        <v>11</v>
      </c>
      <c r="D12971" s="5" t="s">
        <v>12</v>
      </c>
      <c r="E12971" s="5" t="s">
        <v>11438</v>
      </c>
    </row>
    <row r="12972" spans="1:5" x14ac:dyDescent="0.25">
      <c r="A12972" s="5">
        <f>12964</f>
      </c>
      <c r="B12972" s="5" t="s">
        <v>12243</v>
      </c>
      <c r="C12972" s="5" t="s">
        <v>11</v>
      </c>
      <c r="D12972" s="5" t="s">
        <v>12</v>
      </c>
      <c r="E12972" s="5" t="s">
        <v>724</v>
      </c>
    </row>
    <row r="12973" spans="1:5" x14ac:dyDescent="0.25">
      <c r="A12973" s="5">
        <f>12965</f>
      </c>
      <c r="B12973" s="5" t="s">
        <v>12244</v>
      </c>
      <c r="C12973" s="5" t="s">
        <v>11</v>
      </c>
      <c r="D12973" s="5" t="s">
        <v>12</v>
      </c>
      <c r="E12973" s="5" t="s">
        <v>726</v>
      </c>
    </row>
    <row r="12974" spans="1:5" x14ac:dyDescent="0.25">
      <c r="A12974" s="5">
        <f>12966</f>
      </c>
      <c r="B12974" s="5" t="s">
        <v>12245</v>
      </c>
      <c r="C12974" s="5" t="s">
        <v>11</v>
      </c>
      <c r="D12974" s="5" t="s">
        <v>12</v>
      </c>
      <c r="E12974" s="5" t="s">
        <v>2826</v>
      </c>
    </row>
    <row r="12975" spans="1:5" x14ac:dyDescent="0.25">
      <c r="A12975" s="5">
        <f>12967</f>
      </c>
      <c r="B12975" s="5" t="s">
        <v>12246</v>
      </c>
      <c r="C12975" s="5" t="s">
        <v>11</v>
      </c>
      <c r="D12975" s="5" t="s">
        <v>12</v>
      </c>
      <c r="E12975" s="5" t="s">
        <v>4120</v>
      </c>
    </row>
    <row r="12976" spans="1:5" x14ac:dyDescent="0.25">
      <c r="A12976" s="5">
        <f>12968</f>
      </c>
      <c r="B12976" s="5" t="s">
        <v>12247</v>
      </c>
      <c r="C12976" s="5" t="s">
        <v>11</v>
      </c>
      <c r="D12976" s="5" t="s">
        <v>12</v>
      </c>
      <c r="E12976" s="5" t="s">
        <v>3543</v>
      </c>
    </row>
    <row r="12977" spans="1:5" x14ac:dyDescent="0.25">
      <c r="A12977" s="5">
        <f>12969</f>
      </c>
      <c r="B12977" s="5" t="s">
        <v>12248</v>
      </c>
      <c r="C12977" s="5" t="s">
        <v>11</v>
      </c>
      <c r="D12977" s="5" t="s">
        <v>12</v>
      </c>
      <c r="E12977" s="5" t="s">
        <v>2257</v>
      </c>
    </row>
    <row r="12978" spans="1:5" x14ac:dyDescent="0.25">
      <c r="A12978" s="5">
        <f>12970</f>
      </c>
      <c r="B12978" s="5" t="s">
        <v>12249</v>
      </c>
      <c r="C12978" s="5" t="s">
        <v>11</v>
      </c>
      <c r="D12978" s="5" t="s">
        <v>12</v>
      </c>
      <c r="E12978" s="5" t="s">
        <v>772</v>
      </c>
    </row>
    <row r="12979" spans="1:5" x14ac:dyDescent="0.25">
      <c r="A12979" s="5">
        <f>12971</f>
      </c>
      <c r="B12979" s="5" t="s">
        <v>12250</v>
      </c>
      <c r="C12979" s="5" t="s">
        <v>11</v>
      </c>
      <c r="D12979" s="5" t="s">
        <v>12</v>
      </c>
      <c r="E12979" s="5" t="s">
        <v>2316</v>
      </c>
    </row>
    <row r="12980" spans="1:5" x14ac:dyDescent="0.25">
      <c r="A12980" s="5">
        <f>12972</f>
      </c>
      <c r="B12980" s="5" t="s">
        <v>12251</v>
      </c>
      <c r="C12980" s="5" t="s">
        <v>11</v>
      </c>
      <c r="D12980" s="5" t="s">
        <v>12</v>
      </c>
      <c r="E12980" s="5" t="s">
        <v>840</v>
      </c>
    </row>
    <row r="12981" spans="1:5" x14ac:dyDescent="0.25">
      <c r="A12981" s="5">
        <f>12973</f>
      </c>
      <c r="B12981" s="5" t="s">
        <v>12252</v>
      </c>
      <c r="C12981" s="5" t="s">
        <v>11</v>
      </c>
      <c r="D12981" s="5" t="s">
        <v>12</v>
      </c>
      <c r="E12981" s="5" t="s">
        <v>3922</v>
      </c>
    </row>
    <row r="12982" spans="1:5" x14ac:dyDescent="0.25">
      <c r="A12982" s="5">
        <f>12974</f>
      </c>
      <c r="B12982" s="5" t="s">
        <v>12253</v>
      </c>
      <c r="C12982" s="5" t="s">
        <v>11</v>
      </c>
      <c r="D12982" s="5" t="s">
        <v>12</v>
      </c>
      <c r="E12982" s="5" t="s">
        <v>3545</v>
      </c>
    </row>
    <row r="12983" spans="1:5" x14ac:dyDescent="0.25">
      <c r="A12983" s="5">
        <f>12975</f>
      </c>
      <c r="B12983" s="5" t="s">
        <v>12254</v>
      </c>
      <c r="C12983" s="5" t="s">
        <v>11</v>
      </c>
      <c r="D12983" s="5" t="s">
        <v>12</v>
      </c>
      <c r="E12983" s="5" t="s">
        <v>885</v>
      </c>
    </row>
    <row r="12984" spans="1:5" x14ac:dyDescent="0.25">
      <c r="A12984" s="5">
        <f>12976</f>
      </c>
      <c r="B12984" s="5" t="s">
        <v>12255</v>
      </c>
      <c r="C12984" s="5" t="s">
        <v>11</v>
      </c>
      <c r="D12984" s="5" t="s">
        <v>12</v>
      </c>
      <c r="E12984" s="5" t="s">
        <v>3524</v>
      </c>
    </row>
    <row r="12985" spans="1:5" x14ac:dyDescent="0.25">
      <c r="A12985" s="5">
        <f>12977</f>
      </c>
      <c r="B12985" s="5" t="s">
        <v>12256</v>
      </c>
      <c r="C12985" s="5" t="s">
        <v>11</v>
      </c>
      <c r="D12985" s="5" t="s">
        <v>12</v>
      </c>
      <c r="E12985" s="5" t="s">
        <v>849</v>
      </c>
    </row>
    <row r="12986" spans="1:5" x14ac:dyDescent="0.25">
      <c r="A12986" s="5">
        <f>12978</f>
      </c>
      <c r="B12986" s="5" t="s">
        <v>12257</v>
      </c>
      <c r="C12986" s="5" t="s">
        <v>11</v>
      </c>
      <c r="D12986" s="5" t="s">
        <v>12</v>
      </c>
      <c r="E12986" s="5" t="s">
        <v>3506</v>
      </c>
    </row>
    <row r="12987" spans="1:5" x14ac:dyDescent="0.25">
      <c r="A12987" s="5">
        <f>12979</f>
      </c>
      <c r="B12987" s="5" t="s">
        <v>12258</v>
      </c>
      <c r="C12987" s="5" t="s">
        <v>11</v>
      </c>
      <c r="D12987" s="5" t="s">
        <v>12</v>
      </c>
      <c r="E12987" s="5" t="s">
        <v>10059</v>
      </c>
    </row>
    <row r="12988" spans="1:5" x14ac:dyDescent="0.25">
      <c r="A12988" s="5">
        <f>12980</f>
      </c>
      <c r="B12988" s="5" t="s">
        <v>12259</v>
      </c>
      <c r="C12988" s="5" t="s">
        <v>11</v>
      </c>
      <c r="D12988" s="5" t="s">
        <v>12</v>
      </c>
      <c r="E12988" s="5" t="s">
        <v>2407</v>
      </c>
    </row>
    <row r="12989" spans="1:5" x14ac:dyDescent="0.25">
      <c r="A12989" s="5">
        <f>12981</f>
      </c>
      <c r="B12989" s="5" t="s">
        <v>12260</v>
      </c>
      <c r="C12989" s="5" t="s">
        <v>11</v>
      </c>
      <c r="D12989" s="5" t="s">
        <v>12</v>
      </c>
      <c r="E12989" s="5" t="s">
        <v>1060</v>
      </c>
    </row>
    <row r="12990" spans="1:5" x14ac:dyDescent="0.25">
      <c r="A12990" s="5">
        <f>12982</f>
      </c>
      <c r="B12990" s="5" t="s">
        <v>12261</v>
      </c>
      <c r="C12990" s="5" t="s">
        <v>11</v>
      </c>
      <c r="D12990" s="5" t="s">
        <v>12</v>
      </c>
      <c r="E12990" s="5" t="s">
        <v>3610</v>
      </c>
    </row>
    <row r="12991" spans="1:5" x14ac:dyDescent="0.25">
      <c r="A12991" s="5">
        <f>12983</f>
      </c>
      <c r="B12991" s="5" t="s">
        <v>12262</v>
      </c>
      <c r="C12991" s="5" t="s">
        <v>11</v>
      </c>
      <c r="D12991" s="5" t="s">
        <v>12</v>
      </c>
      <c r="E12991" s="5" t="s">
        <v>2624</v>
      </c>
    </row>
    <row r="12992" spans="1:5" x14ac:dyDescent="0.25">
      <c r="A12992" s="5">
        <f>12984</f>
      </c>
      <c r="B12992" s="5" t="s">
        <v>12263</v>
      </c>
      <c r="C12992" s="5" t="s">
        <v>11</v>
      </c>
      <c r="D12992" s="5" t="s">
        <v>12</v>
      </c>
      <c r="E12992" s="5" t="s">
        <v>2634</v>
      </c>
    </row>
    <row r="12993" spans="1:5" x14ac:dyDescent="0.25">
      <c r="A12993" s="5">
        <f>12985</f>
      </c>
      <c r="B12993" s="5" t="s">
        <v>12264</v>
      </c>
      <c r="C12993" s="5" t="s">
        <v>11</v>
      </c>
      <c r="D12993" s="5" t="s">
        <v>12</v>
      </c>
      <c r="E12993" s="5" t="s">
        <v>2384</v>
      </c>
    </row>
    <row r="12994" spans="1:5" x14ac:dyDescent="0.25">
      <c r="A12994" s="5">
        <f>12986</f>
      </c>
      <c r="B12994" s="5" t="s">
        <v>12265</v>
      </c>
      <c r="C12994" s="5" t="s">
        <v>11</v>
      </c>
      <c r="D12994" s="5" t="s">
        <v>12</v>
      </c>
      <c r="E12994" s="5" t="s">
        <v>2244</v>
      </c>
    </row>
    <row r="12995" spans="1:5" x14ac:dyDescent="0.25">
      <c r="A12995" s="5">
        <f>12987</f>
      </c>
      <c r="B12995" s="5" t="s">
        <v>12266</v>
      </c>
      <c r="C12995" s="5" t="s">
        <v>11</v>
      </c>
      <c r="D12995" s="5" t="s">
        <v>12</v>
      </c>
      <c r="E12995" s="5" t="s">
        <v>2668</v>
      </c>
    </row>
    <row r="12996" spans="1:5" x14ac:dyDescent="0.25">
      <c r="A12996" s="5">
        <f>12988</f>
      </c>
      <c r="B12996" s="5" t="s">
        <v>12267</v>
      </c>
      <c r="C12996" s="5" t="s">
        <v>11</v>
      </c>
      <c r="D12996" s="5" t="s">
        <v>12</v>
      </c>
      <c r="E12996" s="5" t="s">
        <v>4075</v>
      </c>
    </row>
    <row r="12997" spans="1:5" x14ac:dyDescent="0.25">
      <c r="A12997" s="5">
        <f>12989</f>
      </c>
      <c r="B12997" s="5" t="s">
        <v>12268</v>
      </c>
      <c r="C12997" s="5" t="s">
        <v>11</v>
      </c>
      <c r="D12997" s="5" t="s">
        <v>12</v>
      </c>
      <c r="E12997" s="5" t="s">
        <v>3713</v>
      </c>
    </row>
    <row r="12998" spans="1:5" x14ac:dyDescent="0.25">
      <c r="A12998" s="5">
        <f>12990</f>
      </c>
      <c r="B12998" s="5" t="s">
        <v>12269</v>
      </c>
      <c r="C12998" s="5" t="s">
        <v>11</v>
      </c>
      <c r="D12998" s="5" t="s">
        <v>12</v>
      </c>
      <c r="E12998" s="5" t="s">
        <v>2343</v>
      </c>
    </row>
    <row r="12999" spans="1:5" x14ac:dyDescent="0.25">
      <c r="A12999" s="5">
        <f>12991</f>
      </c>
      <c r="B12999" s="5" t="s">
        <v>12270</v>
      </c>
      <c r="C12999" s="5" t="s">
        <v>11</v>
      </c>
      <c r="D12999" s="5" t="s">
        <v>12</v>
      </c>
      <c r="E12999" s="5" t="s">
        <v>3493</v>
      </c>
    </row>
    <row r="13000" spans="1:5" x14ac:dyDescent="0.25">
      <c r="A13000" s="5">
        <f>12992</f>
      </c>
      <c r="B13000" s="5" t="s">
        <v>12271</v>
      </c>
      <c r="C13000" s="5" t="s">
        <v>11</v>
      </c>
      <c r="D13000" s="5" t="s">
        <v>12</v>
      </c>
      <c r="E13000" s="5" t="s">
        <v>959</v>
      </c>
    </row>
    <row r="13001" spans="1:5" x14ac:dyDescent="0.25">
      <c r="A13001" s="5">
        <f>12993</f>
      </c>
      <c r="B13001" s="5" t="s">
        <v>12272</v>
      </c>
      <c r="C13001" s="5" t="s">
        <v>11</v>
      </c>
      <c r="D13001" s="5" t="s">
        <v>12</v>
      </c>
      <c r="E13001" s="5" t="s">
        <v>2404</v>
      </c>
    </row>
    <row r="13002" spans="1:5" x14ac:dyDescent="0.25">
      <c r="A13002" s="5">
        <f>12994</f>
      </c>
      <c r="B13002" s="5" t="s">
        <v>12273</v>
      </c>
      <c r="C13002" s="5" t="s">
        <v>11</v>
      </c>
      <c r="D13002" s="5" t="s">
        <v>12</v>
      </c>
      <c r="E13002" s="5" t="s">
        <v>2586</v>
      </c>
    </row>
    <row r="13003" spans="1:5" x14ac:dyDescent="0.25">
      <c r="A13003" s="5">
        <f>12995</f>
      </c>
      <c r="B13003" s="5" t="s">
        <v>12274</v>
      </c>
      <c r="C13003" s="5" t="s">
        <v>11</v>
      </c>
      <c r="D13003" s="5" t="s">
        <v>12</v>
      </c>
      <c r="E13003" s="5" t="s">
        <v>975</v>
      </c>
    </row>
    <row r="13004" spans="1:5" x14ac:dyDescent="0.25">
      <c r="A13004" s="5">
        <f>12996</f>
      </c>
      <c r="B13004" s="5" t="s">
        <v>12275</v>
      </c>
      <c r="C13004" s="5" t="s">
        <v>11</v>
      </c>
      <c r="D13004" s="5" t="s">
        <v>12</v>
      </c>
      <c r="E13004" s="5" t="s">
        <v>2386</v>
      </c>
    </row>
    <row r="13005" spans="1:5" x14ac:dyDescent="0.25">
      <c r="A13005" s="5">
        <f>12997</f>
      </c>
      <c r="B13005" s="5" t="s">
        <v>12276</v>
      </c>
      <c r="C13005" s="5" t="s">
        <v>11</v>
      </c>
      <c r="D13005" s="5" t="s">
        <v>12</v>
      </c>
      <c r="E13005" s="5" t="s">
        <v>957</v>
      </c>
    </row>
    <row r="13006" spans="1:5" x14ac:dyDescent="0.25">
      <c r="A13006" s="5">
        <f>12998</f>
      </c>
      <c r="B13006" s="5" t="s">
        <v>12277</v>
      </c>
      <c r="C13006" s="5" t="s">
        <v>11</v>
      </c>
      <c r="D13006" s="5" t="s">
        <v>12</v>
      </c>
      <c r="E13006" s="5" t="s">
        <v>2876</v>
      </c>
    </row>
    <row r="13007" spans="1:5" x14ac:dyDescent="0.25">
      <c r="A13007" s="5">
        <f>12999</f>
      </c>
      <c r="B13007" s="5" t="s">
        <v>12278</v>
      </c>
      <c r="C13007" s="5" t="s">
        <v>11</v>
      </c>
      <c r="D13007" s="5" t="s">
        <v>12</v>
      </c>
      <c r="E13007" s="5" t="s">
        <v>3516</v>
      </c>
    </row>
    <row r="13008" spans="1:5" x14ac:dyDescent="0.25">
      <c r="A13008" s="5">
        <f>13000</f>
      </c>
      <c r="B13008" s="5" t="s">
        <v>12279</v>
      </c>
      <c r="C13008" s="5" t="s">
        <v>11</v>
      </c>
      <c r="D13008" s="5" t="s">
        <v>12</v>
      </c>
      <c r="E13008" s="5" t="s">
        <v>3563</v>
      </c>
    </row>
    <row r="13009" spans="1:5" x14ac:dyDescent="0.25">
      <c r="A13009" s="5">
        <f>13001</f>
      </c>
      <c r="B13009" s="5" t="s">
        <v>12280</v>
      </c>
      <c r="C13009" s="5" t="s">
        <v>11</v>
      </c>
      <c r="D13009" s="5" t="s">
        <v>12</v>
      </c>
      <c r="E13009" s="5" t="s">
        <v>3545</v>
      </c>
    </row>
    <row r="13010" spans="1:5" x14ac:dyDescent="0.25">
      <c r="A13010" s="5">
        <f>13002</f>
      </c>
      <c r="B13010" s="5" t="s">
        <v>12281</v>
      </c>
      <c r="C13010" s="5" t="s">
        <v>11</v>
      </c>
      <c r="D13010" s="5" t="s">
        <v>12</v>
      </c>
      <c r="E13010" s="5" t="s">
        <v>932</v>
      </c>
    </row>
    <row r="13011" spans="1:5" x14ac:dyDescent="0.25">
      <c r="A13011" s="5">
        <f>13003</f>
      </c>
      <c r="B13011" s="5" t="s">
        <v>12282</v>
      </c>
      <c r="C13011" s="5" t="s">
        <v>11</v>
      </c>
      <c r="D13011" s="5" t="s">
        <v>12</v>
      </c>
      <c r="E13011" s="5" t="s">
        <v>975</v>
      </c>
    </row>
    <row r="13012" spans="1:5" x14ac:dyDescent="0.25">
      <c r="A13012" s="5">
        <f>13004</f>
      </c>
      <c r="B13012" s="5" t="s">
        <v>12283</v>
      </c>
      <c r="C13012" s="5" t="s">
        <v>11</v>
      </c>
      <c r="D13012" s="5" t="s">
        <v>12</v>
      </c>
      <c r="E13012" s="5" t="s">
        <v>3516</v>
      </c>
    </row>
    <row r="13013" spans="1:5" x14ac:dyDescent="0.25">
      <c r="A13013" s="5">
        <f>13005</f>
      </c>
      <c r="B13013" s="5" t="s">
        <v>12284</v>
      </c>
      <c r="C13013" s="5" t="s">
        <v>11</v>
      </c>
      <c r="D13013" s="5" t="s">
        <v>12</v>
      </c>
      <c r="E13013" s="5" t="s">
        <v>3754</v>
      </c>
    </row>
    <row r="13014" spans="1:5" x14ac:dyDescent="0.25">
      <c r="A13014" s="5">
        <f>13006</f>
      </c>
      <c r="B13014" s="5" t="s">
        <v>12285</v>
      </c>
      <c r="C13014" s="5" t="s">
        <v>11</v>
      </c>
      <c r="D13014" s="5" t="s">
        <v>12</v>
      </c>
      <c r="E13014" s="5" t="s">
        <v>2869</v>
      </c>
    </row>
    <row r="13015" spans="1:5" x14ac:dyDescent="0.25">
      <c r="A13015" s="5">
        <f>13007</f>
      </c>
      <c r="B13015" s="5" t="s">
        <v>12286</v>
      </c>
      <c r="C13015" s="5" t="s">
        <v>11</v>
      </c>
      <c r="D13015" s="5" t="s">
        <v>12</v>
      </c>
      <c r="E13015" s="5" t="s">
        <v>2614</v>
      </c>
    </row>
    <row r="13016" spans="1:5" x14ac:dyDescent="0.25">
      <c r="A13016" s="5">
        <f>13008</f>
      </c>
      <c r="B13016" s="5" t="s">
        <v>12287</v>
      </c>
      <c r="C13016" s="5" t="s">
        <v>11</v>
      </c>
      <c r="D13016" s="5" t="s">
        <v>12</v>
      </c>
      <c r="E13016" s="5" t="s">
        <v>869</v>
      </c>
    </row>
    <row r="13017" spans="1:5" x14ac:dyDescent="0.25">
      <c r="A13017" s="5">
        <f>13009</f>
      </c>
      <c r="B13017" s="5" t="s">
        <v>12288</v>
      </c>
      <c r="C13017" s="5" t="s">
        <v>11</v>
      </c>
      <c r="D13017" s="5" t="s">
        <v>12</v>
      </c>
      <c r="E13017" s="5" t="s">
        <v>1042</v>
      </c>
    </row>
    <row r="13018" spans="1:5" x14ac:dyDescent="0.25">
      <c r="A13018" s="5">
        <f>13010</f>
      </c>
      <c r="B13018" s="5" t="s">
        <v>12289</v>
      </c>
      <c r="C13018" s="5" t="s">
        <v>11</v>
      </c>
      <c r="D13018" s="5" t="s">
        <v>12</v>
      </c>
      <c r="E13018" s="5" t="s">
        <v>11414</v>
      </c>
    </row>
    <row r="13019" spans="1:5" x14ac:dyDescent="0.25">
      <c r="A13019" s="5">
        <f>13011</f>
      </c>
      <c r="B13019" s="5" t="s">
        <v>12290</v>
      </c>
      <c r="C13019" s="5" t="s">
        <v>11</v>
      </c>
      <c r="D13019" s="5" t="s">
        <v>12</v>
      </c>
      <c r="E13019" s="5" t="s">
        <v>4151</v>
      </c>
    </row>
    <row r="13020" spans="1:5" x14ac:dyDescent="0.25">
      <c r="A13020" s="5">
        <f>13012</f>
      </c>
      <c r="B13020" s="5" t="s">
        <v>12291</v>
      </c>
      <c r="C13020" s="5" t="s">
        <v>11</v>
      </c>
      <c r="D13020" s="5" t="s">
        <v>12</v>
      </c>
      <c r="E13020" s="5" t="s">
        <v>3538</v>
      </c>
    </row>
    <row r="13021" spans="1:5" x14ac:dyDescent="0.25">
      <c r="A13021" s="5">
        <f>13013</f>
      </c>
      <c r="B13021" s="5" t="s">
        <v>12292</v>
      </c>
      <c r="C13021" s="5" t="s">
        <v>11</v>
      </c>
      <c r="D13021" s="5" t="s">
        <v>12</v>
      </c>
      <c r="E13021" s="5" t="s">
        <v>828</v>
      </c>
    </row>
    <row r="13022" spans="1:5" x14ac:dyDescent="0.25">
      <c r="A13022" s="5">
        <f>13014</f>
      </c>
      <c r="B13022" s="5" t="s">
        <v>12293</v>
      </c>
      <c r="C13022" s="5" t="s">
        <v>11</v>
      </c>
      <c r="D13022" s="5" t="s">
        <v>12</v>
      </c>
      <c r="E13022" s="5" t="s">
        <v>4164</v>
      </c>
    </row>
    <row r="13023" spans="1:5" x14ac:dyDescent="0.25">
      <c r="A13023" s="5">
        <f>13015</f>
      </c>
      <c r="B13023" s="5" t="s">
        <v>12294</v>
      </c>
      <c r="C13023" s="5" t="s">
        <v>11</v>
      </c>
      <c r="D13023" s="5" t="s">
        <v>12</v>
      </c>
      <c r="E13023" s="5" t="s">
        <v>3598</v>
      </c>
    </row>
    <row r="13024" spans="1:5" x14ac:dyDescent="0.25">
      <c r="A13024" s="5">
        <f>13016</f>
      </c>
      <c r="B13024" s="5" t="s">
        <v>12295</v>
      </c>
      <c r="C13024" s="5" t="s">
        <v>11</v>
      </c>
      <c r="D13024" s="5" t="s">
        <v>12</v>
      </c>
      <c r="E13024" s="5" t="s">
        <v>3433</v>
      </c>
    </row>
    <row r="13025" spans="1:5" x14ac:dyDescent="0.25">
      <c r="A13025" s="5">
        <f>13017</f>
      </c>
      <c r="B13025" s="5" t="s">
        <v>12296</v>
      </c>
      <c r="C13025" s="5" t="s">
        <v>11</v>
      </c>
      <c r="D13025" s="5" t="s">
        <v>12</v>
      </c>
      <c r="E13025" s="5" t="s">
        <v>3688</v>
      </c>
    </row>
    <row r="13026" spans="1:5" x14ac:dyDescent="0.25">
      <c r="A13026" s="5">
        <f>13018</f>
      </c>
      <c r="B13026" s="5" t="s">
        <v>12297</v>
      </c>
      <c r="C13026" s="5" t="s">
        <v>11</v>
      </c>
      <c r="D13026" s="5" t="s">
        <v>12</v>
      </c>
      <c r="E13026" s="5" t="s">
        <v>3955</v>
      </c>
    </row>
    <row r="13027" spans="1:5" x14ac:dyDescent="0.25">
      <c r="A13027" s="5">
        <f>13019</f>
      </c>
      <c r="B13027" s="5" t="s">
        <v>12298</v>
      </c>
      <c r="C13027" s="5" t="s">
        <v>11</v>
      </c>
      <c r="D13027" s="5" t="s">
        <v>12</v>
      </c>
      <c r="E13027" s="5" t="s">
        <v>3674</v>
      </c>
    </row>
    <row r="13028" spans="1:5" x14ac:dyDescent="0.25">
      <c r="A13028" s="5">
        <f>13020</f>
      </c>
      <c r="B13028" s="5" t="s">
        <v>12299</v>
      </c>
      <c r="C13028" s="5" t="s">
        <v>11</v>
      </c>
      <c r="D13028" s="5" t="s">
        <v>12</v>
      </c>
      <c r="E13028" s="5" t="s">
        <v>3686</v>
      </c>
    </row>
    <row r="13029" spans="1:5" x14ac:dyDescent="0.25">
      <c r="A13029" s="5">
        <f>13021</f>
      </c>
      <c r="B13029" s="5" t="s">
        <v>12300</v>
      </c>
      <c r="C13029" s="5" t="s">
        <v>11</v>
      </c>
      <c r="D13029" s="5" t="s">
        <v>12</v>
      </c>
      <c r="E13029" s="5" t="s">
        <v>4142</v>
      </c>
    </row>
    <row r="13030" spans="1:5" x14ac:dyDescent="0.25">
      <c r="A13030" s="5">
        <f>13022</f>
      </c>
      <c r="B13030" s="5" t="s">
        <v>12301</v>
      </c>
      <c r="C13030" s="5" t="s">
        <v>11</v>
      </c>
      <c r="D13030" s="5" t="s">
        <v>12</v>
      </c>
      <c r="E13030" s="5" t="s">
        <v>10059</v>
      </c>
    </row>
    <row r="13031" spans="1:5" x14ac:dyDescent="0.25">
      <c r="A13031" s="5">
        <f>13023</f>
      </c>
      <c r="B13031" s="5" t="s">
        <v>12302</v>
      </c>
      <c r="C13031" s="5" t="s">
        <v>11</v>
      </c>
      <c r="D13031" s="5" t="s">
        <v>12</v>
      </c>
      <c r="E13031" s="5" t="s">
        <v>3488</v>
      </c>
    </row>
    <row r="13032" spans="1:5" x14ac:dyDescent="0.25">
      <c r="A13032" s="5">
        <f>13024</f>
      </c>
      <c r="B13032" s="5" t="s">
        <v>12303</v>
      </c>
      <c r="C13032" s="5" t="s">
        <v>11</v>
      </c>
      <c r="D13032" s="5" t="s">
        <v>12</v>
      </c>
      <c r="E13032" s="5" t="s">
        <v>11475</v>
      </c>
    </row>
    <row r="13033" spans="1:5" x14ac:dyDescent="0.25">
      <c r="A13033" s="5">
        <f>13025</f>
      </c>
      <c r="B13033" s="5" t="s">
        <v>12304</v>
      </c>
      <c r="C13033" s="5" t="s">
        <v>11</v>
      </c>
      <c r="D13033" s="5" t="s">
        <v>12</v>
      </c>
      <c r="E13033" s="5" t="s">
        <v>2255</v>
      </c>
    </row>
    <row r="13034" spans="1:5" x14ac:dyDescent="0.25">
      <c r="A13034" s="5">
        <f>13026</f>
      </c>
      <c r="B13034" s="5" t="s">
        <v>12305</v>
      </c>
      <c r="C13034" s="5" t="s">
        <v>11</v>
      </c>
      <c r="D13034" s="5" t="s">
        <v>12</v>
      </c>
      <c r="E13034" s="5" t="s">
        <v>2409</v>
      </c>
    </row>
    <row r="13035" spans="1:5" x14ac:dyDescent="0.25">
      <c r="A13035" s="5">
        <f>13027</f>
      </c>
      <c r="B13035" s="5" t="s">
        <v>12306</v>
      </c>
      <c r="C13035" s="5" t="s">
        <v>11</v>
      </c>
      <c r="D13035" s="5" t="s">
        <v>12</v>
      </c>
      <c r="E13035" s="5" t="s">
        <v>921</v>
      </c>
    </row>
    <row r="13036" spans="1:5" x14ac:dyDescent="0.25">
      <c r="A13036" s="5">
        <f>13028</f>
      </c>
      <c r="B13036" s="5" t="s">
        <v>12307</v>
      </c>
      <c r="C13036" s="5" t="s">
        <v>11</v>
      </c>
      <c r="D13036" s="5" t="s">
        <v>12</v>
      </c>
      <c r="E13036" s="5" t="s">
        <v>2668</v>
      </c>
    </row>
    <row r="13037" spans="1:5" x14ac:dyDescent="0.25">
      <c r="A13037" s="5">
        <f>13029</f>
      </c>
      <c r="B13037" s="5" t="s">
        <v>12308</v>
      </c>
      <c r="C13037" s="5" t="s">
        <v>11</v>
      </c>
      <c r="D13037" s="5" t="s">
        <v>12</v>
      </c>
      <c r="E13037" s="5" t="s">
        <v>840</v>
      </c>
    </row>
    <row r="13038" spans="1:5" x14ac:dyDescent="0.25">
      <c r="A13038" s="5">
        <f>13030</f>
      </c>
      <c r="B13038" s="5" t="s">
        <v>12309</v>
      </c>
      <c r="C13038" s="5" t="s">
        <v>11</v>
      </c>
      <c r="D13038" s="5" t="s">
        <v>12</v>
      </c>
      <c r="E13038" s="5" t="s">
        <v>3533</v>
      </c>
    </row>
    <row r="13039" spans="1:5" x14ac:dyDescent="0.25">
      <c r="A13039" s="5">
        <f>13031</f>
      </c>
      <c r="B13039" s="5" t="s">
        <v>12310</v>
      </c>
      <c r="C13039" s="5" t="s">
        <v>11</v>
      </c>
      <c r="D13039" s="5" t="s">
        <v>12</v>
      </c>
      <c r="E13039" s="5" t="s">
        <v>846</v>
      </c>
    </row>
    <row r="13040" spans="1:5" x14ac:dyDescent="0.25">
      <c r="A13040" s="5">
        <f>13032</f>
      </c>
      <c r="B13040" s="5" t="s">
        <v>12311</v>
      </c>
      <c r="C13040" s="5" t="s">
        <v>11</v>
      </c>
      <c r="D13040" s="5" t="s">
        <v>12</v>
      </c>
      <c r="E13040" s="5" t="s">
        <v>2582</v>
      </c>
    </row>
    <row r="13041" spans="1:5" x14ac:dyDescent="0.25">
      <c r="A13041" s="5">
        <f>13033</f>
      </c>
      <c r="B13041" s="5" t="s">
        <v>12312</v>
      </c>
      <c r="C13041" s="5" t="s">
        <v>11</v>
      </c>
      <c r="D13041" s="5" t="s">
        <v>12</v>
      </c>
      <c r="E13041" s="5" t="s">
        <v>2247</v>
      </c>
    </row>
    <row r="13042" spans="1:5" x14ac:dyDescent="0.25">
      <c r="A13042" s="5">
        <f>13034</f>
      </c>
      <c r="B13042" s="5" t="s">
        <v>12313</v>
      </c>
      <c r="C13042" s="5" t="s">
        <v>11</v>
      </c>
      <c r="D13042" s="5" t="s">
        <v>12</v>
      </c>
      <c r="E13042" s="5" t="s">
        <v>722</v>
      </c>
    </row>
    <row r="13043" spans="1:5" x14ac:dyDescent="0.25">
      <c r="A13043" s="5">
        <f>13035</f>
      </c>
      <c r="B13043" s="5" t="s">
        <v>12314</v>
      </c>
      <c r="C13043" s="5" t="s">
        <v>11</v>
      </c>
      <c r="D13043" s="5" t="s">
        <v>12</v>
      </c>
      <c r="E13043" s="5" t="s">
        <v>3891</v>
      </c>
    </row>
    <row r="13044" spans="1:5" x14ac:dyDescent="0.25">
      <c r="A13044" s="5">
        <f>13036</f>
      </c>
      <c r="B13044" s="5" t="s">
        <v>12315</v>
      </c>
      <c r="C13044" s="5" t="s">
        <v>11</v>
      </c>
      <c r="D13044" s="5" t="s">
        <v>12</v>
      </c>
      <c r="E13044" s="5" t="s">
        <v>10562</v>
      </c>
    </row>
    <row r="13045" spans="1:5" x14ac:dyDescent="0.25">
      <c r="A13045" s="5">
        <f>13037</f>
      </c>
      <c r="B13045" s="5" t="s">
        <v>12316</v>
      </c>
      <c r="C13045" s="5" t="s">
        <v>11</v>
      </c>
      <c r="D13045" s="5" t="s">
        <v>12</v>
      </c>
      <c r="E13045" s="5" t="s">
        <v>838</v>
      </c>
    </row>
    <row r="13046" spans="1:5" x14ac:dyDescent="0.25">
      <c r="A13046" s="5">
        <f>13038</f>
      </c>
      <c r="B13046" s="5" t="s">
        <v>12317</v>
      </c>
      <c r="C13046" s="5" t="s">
        <v>11</v>
      </c>
      <c r="D13046" s="5" t="s">
        <v>12</v>
      </c>
      <c r="E13046" s="5" t="s">
        <v>2645</v>
      </c>
    </row>
    <row r="13047" spans="1:5" x14ac:dyDescent="0.25">
      <c r="A13047" s="5">
        <f>13039</f>
      </c>
      <c r="B13047" s="5" t="s">
        <v>12318</v>
      </c>
      <c r="C13047" s="5" t="s">
        <v>11</v>
      </c>
      <c r="D13047" s="5" t="s">
        <v>12</v>
      </c>
      <c r="E13047" s="5" t="s">
        <v>3601</v>
      </c>
    </row>
    <row r="13048" spans="1:5" x14ac:dyDescent="0.25">
      <c r="A13048" s="5">
        <f>13040</f>
      </c>
      <c r="B13048" s="5" t="s">
        <v>12319</v>
      </c>
      <c r="C13048" s="5" t="s">
        <v>11</v>
      </c>
      <c r="D13048" s="5" t="s">
        <v>12</v>
      </c>
      <c r="E13048" s="5" t="s">
        <v>2327</v>
      </c>
    </row>
    <row r="13049" spans="1:5" x14ac:dyDescent="0.25">
      <c r="A13049" s="5">
        <f>13041</f>
      </c>
      <c r="B13049" s="5" t="s">
        <v>12320</v>
      </c>
      <c r="C13049" s="5" t="s">
        <v>11</v>
      </c>
      <c r="D13049" s="5" t="s">
        <v>12</v>
      </c>
      <c r="E13049" s="5" t="s">
        <v>2944</v>
      </c>
    </row>
    <row r="13050" spans="1:5" x14ac:dyDescent="0.25">
      <c r="A13050" s="5">
        <f>13042</f>
      </c>
      <c r="B13050" s="5" t="s">
        <v>12321</v>
      </c>
      <c r="C13050" s="5" t="s">
        <v>11</v>
      </c>
      <c r="D13050" s="5" t="s">
        <v>12</v>
      </c>
      <c r="E13050" s="5" t="s">
        <v>3692</v>
      </c>
    </row>
    <row r="13051" spans="1:5" x14ac:dyDescent="0.25">
      <c r="A13051" s="5">
        <f>13043</f>
      </c>
      <c r="B13051" s="5" t="s">
        <v>12322</v>
      </c>
      <c r="C13051" s="5" t="s">
        <v>11</v>
      </c>
      <c r="D13051" s="5" t="s">
        <v>12</v>
      </c>
      <c r="E13051" s="5" t="s">
        <v>975</v>
      </c>
    </row>
    <row r="13052" spans="1:5" x14ac:dyDescent="0.25">
      <c r="A13052" s="5">
        <f>13044</f>
      </c>
      <c r="B13052" s="5" t="s">
        <v>12323</v>
      </c>
      <c r="C13052" s="5" t="s">
        <v>11</v>
      </c>
      <c r="D13052" s="5" t="s">
        <v>12</v>
      </c>
      <c r="E13052" s="5" t="s">
        <v>892</v>
      </c>
    </row>
    <row r="13053" spans="1:5" x14ac:dyDescent="0.25">
      <c r="A13053" s="5">
        <f>13045</f>
      </c>
      <c r="B13053" s="5" t="s">
        <v>12324</v>
      </c>
      <c r="C13053" s="5" t="s">
        <v>11</v>
      </c>
      <c r="D13053" s="5" t="s">
        <v>12</v>
      </c>
      <c r="E13053" s="5" t="s">
        <v>3761</v>
      </c>
    </row>
    <row r="13054" spans="1:5" x14ac:dyDescent="0.25">
      <c r="A13054" s="5">
        <f>13046</f>
      </c>
      <c r="B13054" s="5" t="s">
        <v>12325</v>
      </c>
      <c r="C13054" s="5" t="s">
        <v>11</v>
      </c>
      <c r="D13054" s="5" t="s">
        <v>12</v>
      </c>
      <c r="E13054" s="5" t="s">
        <v>2394</v>
      </c>
    </row>
    <row r="13055" spans="1:5" x14ac:dyDescent="0.25">
      <c r="A13055" s="5">
        <f>13047</f>
      </c>
      <c r="B13055" s="5" t="s">
        <v>12326</v>
      </c>
      <c r="C13055" s="5" t="s">
        <v>11</v>
      </c>
      <c r="D13055" s="5" t="s">
        <v>12</v>
      </c>
      <c r="E13055" s="5" t="s">
        <v>4156</v>
      </c>
    </row>
    <row r="13056" spans="1:5" x14ac:dyDescent="0.25">
      <c r="A13056" s="5">
        <f>13048</f>
      </c>
      <c r="B13056" s="5" t="s">
        <v>12327</v>
      </c>
      <c r="C13056" s="5" t="s">
        <v>11</v>
      </c>
      <c r="D13056" s="5" t="s">
        <v>12</v>
      </c>
      <c r="E13056" s="5" t="s">
        <v>2241</v>
      </c>
    </row>
    <row r="13057" spans="1:5" x14ac:dyDescent="0.25">
      <c r="A13057" s="5">
        <f>13049</f>
      </c>
      <c r="B13057" s="5" t="s">
        <v>12328</v>
      </c>
      <c r="C13057" s="5" t="s">
        <v>11</v>
      </c>
      <c r="D13057" s="5" t="s">
        <v>12</v>
      </c>
      <c r="E13057" s="5" t="s">
        <v>3565</v>
      </c>
    </row>
    <row r="13058" spans="1:5" x14ac:dyDescent="0.25">
      <c r="A13058" s="5">
        <f>13050</f>
      </c>
      <c r="B13058" s="5" t="s">
        <v>12329</v>
      </c>
      <c r="C13058" s="5" t="s">
        <v>11</v>
      </c>
      <c r="D13058" s="5" t="s">
        <v>12</v>
      </c>
      <c r="E13058" s="5" t="s">
        <v>2389</v>
      </c>
    </row>
    <row r="13059" spans="1:5" x14ac:dyDescent="0.25">
      <c r="A13059" s="5">
        <f>13051</f>
      </c>
      <c r="B13059" s="5" t="s">
        <v>12330</v>
      </c>
      <c r="C13059" s="5" t="s">
        <v>11</v>
      </c>
      <c r="D13059" s="5" t="s">
        <v>12</v>
      </c>
      <c r="E13059" s="5" t="s">
        <v>9512</v>
      </c>
    </row>
    <row r="13060" spans="1:5" x14ac:dyDescent="0.25">
      <c r="A13060" s="5">
        <f>13052</f>
      </c>
      <c r="B13060" s="5" t="s">
        <v>12331</v>
      </c>
      <c r="C13060" s="5" t="s">
        <v>11</v>
      </c>
      <c r="D13060" s="5" t="s">
        <v>12</v>
      </c>
      <c r="E13060" s="5" t="s">
        <v>2594</v>
      </c>
    </row>
    <row r="13061" spans="1:5" x14ac:dyDescent="0.25">
      <c r="A13061" s="5">
        <f>13053</f>
      </c>
      <c r="B13061" s="5" t="s">
        <v>12332</v>
      </c>
      <c r="C13061" s="5" t="s">
        <v>11</v>
      </c>
      <c r="D13061" s="5" t="s">
        <v>12</v>
      </c>
      <c r="E13061" s="5" t="s">
        <v>3493</v>
      </c>
    </row>
    <row r="13062" spans="1:5" x14ac:dyDescent="0.25">
      <c r="A13062" s="5">
        <f>13054</f>
      </c>
      <c r="B13062" s="5" t="s">
        <v>12333</v>
      </c>
      <c r="C13062" s="5" t="s">
        <v>11</v>
      </c>
      <c r="D13062" s="5" t="s">
        <v>12</v>
      </c>
      <c r="E13062" s="5" t="s">
        <v>3713</v>
      </c>
    </row>
    <row r="13063" spans="1:5" x14ac:dyDescent="0.25">
      <c r="A13063" s="5">
        <f>13055</f>
      </c>
      <c r="B13063" s="5" t="s">
        <v>12334</v>
      </c>
      <c r="C13063" s="5" t="s">
        <v>11</v>
      </c>
      <c r="D13063" s="5" t="s">
        <v>12</v>
      </c>
      <c r="E13063" s="5" t="s">
        <v>2407</v>
      </c>
    </row>
    <row r="13064" spans="1:5" x14ac:dyDescent="0.25">
      <c r="A13064" s="5">
        <f>13056</f>
      </c>
      <c r="B13064" s="5" t="s">
        <v>12335</v>
      </c>
      <c r="C13064" s="5" t="s">
        <v>11</v>
      </c>
      <c r="D13064" s="5" t="s">
        <v>12</v>
      </c>
      <c r="E13064" s="5" t="s">
        <v>990</v>
      </c>
    </row>
    <row r="13065" spans="1:5" x14ac:dyDescent="0.25">
      <c r="A13065" s="5">
        <f>13057</f>
      </c>
      <c r="B13065" s="5" t="s">
        <v>12336</v>
      </c>
      <c r="C13065" s="5" t="s">
        <v>11</v>
      </c>
      <c r="D13065" s="5" t="s">
        <v>12</v>
      </c>
      <c r="E13065" s="5" t="s">
        <v>835</v>
      </c>
    </row>
    <row r="13066" spans="1:5" x14ac:dyDescent="0.25">
      <c r="A13066" s="5">
        <f>13058</f>
      </c>
      <c r="B13066" s="5" t="s">
        <v>12337</v>
      </c>
      <c r="C13066" s="5" t="s">
        <v>11</v>
      </c>
      <c r="D13066" s="5" t="s">
        <v>12</v>
      </c>
      <c r="E13066" s="5" t="s">
        <v>2407</v>
      </c>
    </row>
    <row r="13067" spans="1:5" x14ac:dyDescent="0.25">
      <c r="A13067" s="5">
        <f>13059</f>
      </c>
      <c r="B13067" s="5" t="s">
        <v>12338</v>
      </c>
      <c r="C13067" s="5" t="s">
        <v>11</v>
      </c>
      <c r="D13067" s="5" t="s">
        <v>12</v>
      </c>
      <c r="E13067" s="5" t="s">
        <v>3621</v>
      </c>
    </row>
    <row r="13068" spans="1:5" x14ac:dyDescent="0.25">
      <c r="A13068" s="5">
        <f>13060</f>
      </c>
      <c r="B13068" s="5" t="s">
        <v>12339</v>
      </c>
      <c r="C13068" s="5" t="s">
        <v>11</v>
      </c>
      <c r="D13068" s="5" t="s">
        <v>12</v>
      </c>
      <c r="E13068" s="5" t="s">
        <v>4151</v>
      </c>
    </row>
    <row r="13069" spans="1:5" x14ac:dyDescent="0.25">
      <c r="A13069" s="5">
        <f>13061</f>
      </c>
      <c r="B13069" s="5" t="s">
        <v>12340</v>
      </c>
      <c r="C13069" s="5" t="s">
        <v>11</v>
      </c>
      <c r="D13069" s="5" t="s">
        <v>12</v>
      </c>
      <c r="E13069" s="5" t="s">
        <v>826</v>
      </c>
    </row>
    <row r="13070" spans="1:5" x14ac:dyDescent="0.25">
      <c r="A13070" s="5">
        <f>13062</f>
      </c>
      <c r="B13070" s="5" t="s">
        <v>12341</v>
      </c>
      <c r="C13070" s="5" t="s">
        <v>11</v>
      </c>
      <c r="D13070" s="5" t="s">
        <v>12</v>
      </c>
      <c r="E13070" s="5" t="s">
        <v>7767</v>
      </c>
    </row>
    <row r="13071" spans="1:5" x14ac:dyDescent="0.25">
      <c r="A13071" s="5">
        <f>13063</f>
      </c>
      <c r="B13071" s="5" t="s">
        <v>12342</v>
      </c>
      <c r="C13071" s="5" t="s">
        <v>11</v>
      </c>
      <c r="D13071" s="5" t="s">
        <v>12</v>
      </c>
      <c r="E13071" s="5" t="s">
        <v>2844</v>
      </c>
    </row>
    <row r="13072" spans="1:5" x14ac:dyDescent="0.25">
      <c r="A13072" s="5">
        <f>13064</f>
      </c>
      <c r="B13072" s="5" t="s">
        <v>12343</v>
      </c>
      <c r="C13072" s="5" t="s">
        <v>11</v>
      </c>
      <c r="D13072" s="5" t="s">
        <v>12</v>
      </c>
      <c r="E13072" s="5" t="s">
        <v>2304</v>
      </c>
    </row>
    <row r="13073" spans="1:5" x14ac:dyDescent="0.25">
      <c r="A13073" s="5">
        <f>13065</f>
      </c>
      <c r="B13073" s="5" t="s">
        <v>12344</v>
      </c>
      <c r="C13073" s="5" t="s">
        <v>11</v>
      </c>
      <c r="D13073" s="5" t="s">
        <v>12</v>
      </c>
      <c r="E13073" s="5" t="s">
        <v>10580</v>
      </c>
    </row>
    <row r="13074" spans="1:5" x14ac:dyDescent="0.25">
      <c r="A13074" s="5">
        <f>13066</f>
      </c>
      <c r="B13074" s="5" t="s">
        <v>12345</v>
      </c>
      <c r="C13074" s="5" t="s">
        <v>11</v>
      </c>
      <c r="D13074" s="5" t="s">
        <v>12</v>
      </c>
      <c r="E13074" s="5" t="s">
        <v>3626</v>
      </c>
    </row>
    <row r="13075" spans="1:5" x14ac:dyDescent="0.25">
      <c r="A13075" s="5">
        <f>13067</f>
      </c>
      <c r="B13075" s="5" t="s">
        <v>12346</v>
      </c>
      <c r="C13075" s="5" t="s">
        <v>11</v>
      </c>
      <c r="D13075" s="5" t="s">
        <v>12</v>
      </c>
      <c r="E13075" s="5" t="s">
        <v>10618</v>
      </c>
    </row>
    <row r="13076" spans="1:5" x14ac:dyDescent="0.25">
      <c r="A13076" s="5">
        <f>13068</f>
      </c>
      <c r="B13076" s="5" t="s">
        <v>12347</v>
      </c>
      <c r="C13076" s="5" t="s">
        <v>11</v>
      </c>
      <c r="D13076" s="5" t="s">
        <v>12</v>
      </c>
      <c r="E13076" s="5" t="s">
        <v>732</v>
      </c>
    </row>
    <row r="13077" spans="1:5" x14ac:dyDescent="0.25">
      <c r="A13077" s="5">
        <f>13069</f>
      </c>
      <c r="B13077" s="5" t="s">
        <v>12348</v>
      </c>
      <c r="C13077" s="5" t="s">
        <v>11</v>
      </c>
      <c r="D13077" s="5" t="s">
        <v>12</v>
      </c>
      <c r="E13077" s="5" t="s">
        <v>3767</v>
      </c>
    </row>
    <row r="13078" spans="1:5" x14ac:dyDescent="0.25">
      <c r="A13078" s="5">
        <f>13070</f>
      </c>
      <c r="B13078" s="5" t="s">
        <v>12349</v>
      </c>
      <c r="C13078" s="5" t="s">
        <v>11</v>
      </c>
      <c r="D13078" s="5" t="s">
        <v>12</v>
      </c>
      <c r="E13078" s="5" t="s">
        <v>935</v>
      </c>
    </row>
    <row r="13079" spans="1:5" x14ac:dyDescent="0.25">
      <c r="A13079" s="5">
        <f>13071</f>
      </c>
      <c r="B13079" s="5" t="s">
        <v>12350</v>
      </c>
      <c r="C13079" s="5" t="s">
        <v>11</v>
      </c>
      <c r="D13079" s="5" t="s">
        <v>12</v>
      </c>
      <c r="E13079" s="5" t="s">
        <v>963</v>
      </c>
    </row>
    <row r="13080" spans="1:5" x14ac:dyDescent="0.25">
      <c r="A13080" s="5">
        <f>13072</f>
      </c>
      <c r="B13080" s="5" t="s">
        <v>12351</v>
      </c>
      <c r="C13080" s="5" t="s">
        <v>11</v>
      </c>
      <c r="D13080" s="5" t="s">
        <v>12</v>
      </c>
      <c r="E13080" s="5" t="s">
        <v>3538</v>
      </c>
    </row>
    <row r="13081" spans="1:5" x14ac:dyDescent="0.25">
      <c r="A13081" s="5">
        <f>13073</f>
      </c>
      <c r="B13081" s="5" t="s">
        <v>12352</v>
      </c>
      <c r="C13081" s="5" t="s">
        <v>11</v>
      </c>
      <c r="D13081" s="5" t="s">
        <v>12</v>
      </c>
      <c r="E13081" s="5" t="s">
        <v>1077</v>
      </c>
    </row>
    <row r="13082" spans="1:5" x14ac:dyDescent="0.25">
      <c r="A13082" s="5">
        <f>13074</f>
      </c>
      <c r="B13082" s="5" t="s">
        <v>12353</v>
      </c>
      <c r="C13082" s="5" t="s">
        <v>11</v>
      </c>
      <c r="D13082" s="5" t="s">
        <v>12</v>
      </c>
      <c r="E13082" s="5" t="s">
        <v>1028</v>
      </c>
    </row>
    <row r="13083" spans="1:5" x14ac:dyDescent="0.25">
      <c r="A13083" s="5">
        <f>13075</f>
      </c>
      <c r="B13083" s="5" t="s">
        <v>12354</v>
      </c>
      <c r="C13083" s="5" t="s">
        <v>11</v>
      </c>
      <c r="D13083" s="5" t="s">
        <v>12</v>
      </c>
      <c r="E13083" s="5" t="s">
        <v>3425</v>
      </c>
    </row>
    <row r="13084" spans="1:5" x14ac:dyDescent="0.25">
      <c r="A13084" s="5">
        <f>13076</f>
      </c>
      <c r="B13084" s="5" t="s">
        <v>12355</v>
      </c>
      <c r="C13084" s="5" t="s">
        <v>11</v>
      </c>
      <c r="D13084" s="5" t="s">
        <v>12</v>
      </c>
      <c r="E13084" s="5" t="s">
        <v>3932</v>
      </c>
    </row>
    <row r="13085" spans="1:5" x14ac:dyDescent="0.25">
      <c r="A13085" s="5">
        <f>13077</f>
      </c>
      <c r="B13085" s="5" t="s">
        <v>12356</v>
      </c>
      <c r="C13085" s="5" t="s">
        <v>11</v>
      </c>
      <c r="D13085" s="5" t="s">
        <v>12</v>
      </c>
      <c r="E13085" s="5" t="s">
        <v>10549</v>
      </c>
    </row>
    <row r="13086" spans="1:5" x14ac:dyDescent="0.25">
      <c r="A13086" s="5">
        <f>13078</f>
      </c>
      <c r="B13086" s="5" t="s">
        <v>12357</v>
      </c>
      <c r="C13086" s="5" t="s">
        <v>11</v>
      </c>
      <c r="D13086" s="5" t="s">
        <v>12</v>
      </c>
      <c r="E13086" s="5" t="s">
        <v>3438</v>
      </c>
    </row>
    <row r="13087" spans="1:5" x14ac:dyDescent="0.25">
      <c r="A13087" s="5">
        <f>13079</f>
      </c>
      <c r="B13087" s="5" t="s">
        <v>12358</v>
      </c>
      <c r="C13087" s="5" t="s">
        <v>11</v>
      </c>
      <c r="D13087" s="5" t="s">
        <v>12</v>
      </c>
      <c r="E13087" s="5" t="s">
        <v>10683</v>
      </c>
    </row>
    <row r="13088" spans="1:5" x14ac:dyDescent="0.25">
      <c r="A13088" s="5">
        <f>13080</f>
      </c>
      <c r="B13088" s="5" t="s">
        <v>12359</v>
      </c>
      <c r="C13088" s="5" t="s">
        <v>11</v>
      </c>
      <c r="D13088" s="5" t="s">
        <v>12</v>
      </c>
      <c r="E13088" s="5" t="s">
        <v>3765</v>
      </c>
    </row>
    <row r="13089" spans="1:5" x14ac:dyDescent="0.25">
      <c r="A13089" s="5">
        <f>13081</f>
      </c>
      <c r="B13089" s="5" t="s">
        <v>12360</v>
      </c>
      <c r="C13089" s="5" t="s">
        <v>11</v>
      </c>
      <c r="D13089" s="5" t="s">
        <v>12</v>
      </c>
      <c r="E13089" s="5" t="s">
        <v>2844</v>
      </c>
    </row>
    <row r="13090" spans="1:5" x14ac:dyDescent="0.25">
      <c r="A13090" s="5">
        <f>13082</f>
      </c>
      <c r="B13090" s="5" t="s">
        <v>12361</v>
      </c>
      <c r="C13090" s="5" t="s">
        <v>11</v>
      </c>
      <c r="D13090" s="5" t="s">
        <v>12</v>
      </c>
      <c r="E13090" s="5" t="s">
        <v>2844</v>
      </c>
    </row>
    <row r="13091" spans="1:5" x14ac:dyDescent="0.25">
      <c r="A13091" s="5">
        <f>13083</f>
      </c>
      <c r="B13091" s="5" t="s">
        <v>12362</v>
      </c>
      <c r="C13091" s="5" t="s">
        <v>11</v>
      </c>
      <c r="D13091" s="5" t="s">
        <v>12</v>
      </c>
      <c r="E13091" s="5" t="s">
        <v>2381</v>
      </c>
    </row>
    <row r="13092" spans="1:5" x14ac:dyDescent="0.25">
      <c r="A13092" s="5">
        <f>13084</f>
      </c>
      <c r="B13092" s="5" t="s">
        <v>12363</v>
      </c>
      <c r="C13092" s="5" t="s">
        <v>11</v>
      </c>
      <c r="D13092" s="5" t="s">
        <v>12</v>
      </c>
      <c r="E13092" s="5" t="s">
        <v>2381</v>
      </c>
    </row>
    <row r="13093" spans="1:5" x14ac:dyDescent="0.25">
      <c r="A13093" s="5">
        <f>13085</f>
      </c>
      <c r="B13093" s="5" t="s">
        <v>12364</v>
      </c>
      <c r="C13093" s="5" t="s">
        <v>11</v>
      </c>
      <c r="D13093" s="5" t="s">
        <v>12</v>
      </c>
      <c r="E13093" s="5" t="s">
        <v>1036</v>
      </c>
    </row>
    <row r="13094" spans="1:5" x14ac:dyDescent="0.25">
      <c r="A13094" s="5">
        <f>13086</f>
      </c>
      <c r="B13094" s="5" t="s">
        <v>12365</v>
      </c>
      <c r="C13094" s="5" t="s">
        <v>11</v>
      </c>
      <c r="D13094" s="5" t="s">
        <v>12</v>
      </c>
      <c r="E13094" s="5" t="s">
        <v>1036</v>
      </c>
    </row>
    <row r="13095" spans="1:5" x14ac:dyDescent="0.25">
      <c r="A13095" s="5">
        <f>13087</f>
      </c>
      <c r="B13095" s="5" t="s">
        <v>12366</v>
      </c>
      <c r="C13095" s="5" t="s">
        <v>11</v>
      </c>
      <c r="D13095" s="5" t="s">
        <v>12</v>
      </c>
      <c r="E13095" s="5" t="s">
        <v>3608</v>
      </c>
    </row>
    <row r="13096" spans="1:5" x14ac:dyDescent="0.25">
      <c r="A13096" s="5">
        <f>13088</f>
      </c>
      <c r="B13096" s="5" t="s">
        <v>12367</v>
      </c>
      <c r="C13096" s="5" t="s">
        <v>11</v>
      </c>
      <c r="D13096" s="5" t="s">
        <v>12</v>
      </c>
      <c r="E13096" s="5" t="s">
        <v>3608</v>
      </c>
    </row>
    <row r="13097" spans="1:5" x14ac:dyDescent="0.25">
      <c r="A13097" s="5">
        <f>13089</f>
      </c>
      <c r="B13097" s="5" t="s">
        <v>12368</v>
      </c>
      <c r="C13097" s="5" t="s">
        <v>11</v>
      </c>
      <c r="D13097" s="5" t="s">
        <v>12</v>
      </c>
      <c r="E13097" s="5" t="s">
        <v>3879</v>
      </c>
    </row>
    <row r="13098" spans="1:5" x14ac:dyDescent="0.25">
      <c r="A13098" s="5">
        <f>13090</f>
      </c>
      <c r="B13098" s="5" t="s">
        <v>12369</v>
      </c>
      <c r="C13098" s="5" t="s">
        <v>11</v>
      </c>
      <c r="D13098" s="5" t="s">
        <v>12</v>
      </c>
      <c r="E13098" s="5" t="s">
        <v>3879</v>
      </c>
    </row>
    <row r="13099" spans="1:5" x14ac:dyDescent="0.25">
      <c r="A13099" s="5">
        <f>13091</f>
      </c>
      <c r="B13099" s="5" t="s">
        <v>12370</v>
      </c>
      <c r="C13099" s="5" t="s">
        <v>11</v>
      </c>
      <c r="D13099" s="5" t="s">
        <v>12</v>
      </c>
      <c r="E13099" s="5" t="s">
        <v>3879</v>
      </c>
    </row>
    <row r="13100" spans="1:5" x14ac:dyDescent="0.25">
      <c r="A13100" s="5">
        <f>13092</f>
      </c>
      <c r="B13100" s="5" t="s">
        <v>12371</v>
      </c>
      <c r="C13100" s="5" t="s">
        <v>11</v>
      </c>
      <c r="D13100" s="5" t="s">
        <v>12</v>
      </c>
      <c r="E13100" s="5" t="s">
        <v>3879</v>
      </c>
    </row>
    <row r="13101" spans="1:5" x14ac:dyDescent="0.25">
      <c r="A13101" s="5">
        <f>13093</f>
      </c>
      <c r="B13101" s="5" t="s">
        <v>12372</v>
      </c>
      <c r="C13101" s="5" t="s">
        <v>11</v>
      </c>
      <c r="D13101" s="5" t="s">
        <v>12</v>
      </c>
      <c r="E13101" s="5" t="s">
        <v>9521</v>
      </c>
    </row>
    <row r="13102" spans="1:5" x14ac:dyDescent="0.25">
      <c r="A13102" s="5">
        <f>13094</f>
      </c>
      <c r="B13102" s="5" t="s">
        <v>12373</v>
      </c>
      <c r="C13102" s="5" t="s">
        <v>11</v>
      </c>
      <c r="D13102" s="5" t="s">
        <v>12</v>
      </c>
      <c r="E13102" s="5" t="s">
        <v>9521</v>
      </c>
    </row>
    <row r="13103" spans="1:5" x14ac:dyDescent="0.25">
      <c r="A13103" s="5">
        <f>13095</f>
      </c>
      <c r="B13103" s="5" t="s">
        <v>12374</v>
      </c>
      <c r="C13103" s="5" t="s">
        <v>11</v>
      </c>
      <c r="D13103" s="5" t="s">
        <v>12</v>
      </c>
      <c r="E13103" s="5" t="s">
        <v>9521</v>
      </c>
    </row>
    <row r="13104" spans="1:5" x14ac:dyDescent="0.25">
      <c r="A13104" s="5">
        <f>13096</f>
      </c>
      <c r="B13104" s="5" t="s">
        <v>12375</v>
      </c>
      <c r="C13104" s="5" t="s">
        <v>11</v>
      </c>
      <c r="D13104" s="5" t="s">
        <v>12</v>
      </c>
      <c r="E13104" s="5" t="s">
        <v>2241</v>
      </c>
    </row>
    <row r="13105" spans="1:5" x14ac:dyDescent="0.25">
      <c r="A13105" s="5">
        <f>13097</f>
      </c>
      <c r="B13105" s="5" t="s">
        <v>12376</v>
      </c>
      <c r="C13105" s="5" t="s">
        <v>11</v>
      </c>
      <c r="D13105" s="5" t="s">
        <v>12</v>
      </c>
      <c r="E13105" s="5" t="s">
        <v>2241</v>
      </c>
    </row>
    <row r="13106" spans="1:5" x14ac:dyDescent="0.25">
      <c r="A13106" s="5">
        <f>13098</f>
      </c>
      <c r="B13106" s="5" t="s">
        <v>12377</v>
      </c>
      <c r="C13106" s="5" t="s">
        <v>11</v>
      </c>
      <c r="D13106" s="5" t="s">
        <v>12</v>
      </c>
      <c r="E13106" s="5" t="s">
        <v>3626</v>
      </c>
    </row>
    <row r="13107" spans="1:5" x14ac:dyDescent="0.25">
      <c r="A13107" s="5">
        <f>13099</f>
      </c>
      <c r="B13107" s="5" t="s">
        <v>12378</v>
      </c>
      <c r="C13107" s="5" t="s">
        <v>11</v>
      </c>
      <c r="D13107" s="5" t="s">
        <v>12</v>
      </c>
      <c r="E13107" s="5" t="s">
        <v>3626</v>
      </c>
    </row>
    <row r="13108" spans="1:5" x14ac:dyDescent="0.25">
      <c r="A13108" s="5">
        <f>13100</f>
      </c>
      <c r="B13108" s="5" t="s">
        <v>12379</v>
      </c>
      <c r="C13108" s="5" t="s">
        <v>11</v>
      </c>
      <c r="D13108" s="5" t="s">
        <v>12</v>
      </c>
      <c r="E13108" s="5" t="s">
        <v>9553</v>
      </c>
    </row>
    <row r="13109" spans="1:5" x14ac:dyDescent="0.25">
      <c r="A13109" s="5">
        <f>13101</f>
      </c>
      <c r="B13109" s="5" t="s">
        <v>12380</v>
      </c>
      <c r="C13109" s="5" t="s">
        <v>11</v>
      </c>
      <c r="D13109" s="5" t="s">
        <v>12</v>
      </c>
      <c r="E13109" s="5" t="s">
        <v>9553</v>
      </c>
    </row>
    <row r="13110" spans="1:5" x14ac:dyDescent="0.25">
      <c r="A13110" s="5">
        <f>13102</f>
      </c>
      <c r="B13110" s="5" t="s">
        <v>12381</v>
      </c>
      <c r="C13110" s="5" t="s">
        <v>11</v>
      </c>
      <c r="D13110" s="5" t="s">
        <v>12</v>
      </c>
      <c r="E13110" s="5" t="s">
        <v>2622</v>
      </c>
    </row>
    <row r="13111" spans="1:5" x14ac:dyDescent="0.25">
      <c r="A13111" s="5">
        <f>13103</f>
      </c>
      <c r="B13111" s="5" t="s">
        <v>12382</v>
      </c>
      <c r="C13111" s="5" t="s">
        <v>11</v>
      </c>
      <c r="D13111" s="5" t="s">
        <v>12</v>
      </c>
      <c r="E13111" s="5" t="s">
        <v>1074</v>
      </c>
    </row>
    <row r="13112" spans="1:5" x14ac:dyDescent="0.25">
      <c r="A13112" s="5">
        <f>13104</f>
      </c>
      <c r="B13112" s="5" t="s">
        <v>12383</v>
      </c>
      <c r="C13112" s="5" t="s">
        <v>11</v>
      </c>
      <c r="D13112" s="5" t="s">
        <v>12</v>
      </c>
      <c r="E13112" s="5" t="s">
        <v>1074</v>
      </c>
    </row>
    <row r="13113" spans="1:5" x14ac:dyDescent="0.25">
      <c r="A13113" s="5">
        <f>13105</f>
      </c>
      <c r="B13113" s="5" t="s">
        <v>12384</v>
      </c>
      <c r="C13113" s="5" t="s">
        <v>11</v>
      </c>
      <c r="D13113" s="5" t="s">
        <v>12</v>
      </c>
      <c r="E13113" s="5" t="s">
        <v>1074</v>
      </c>
    </row>
    <row r="13114" spans="1:5" x14ac:dyDescent="0.25">
      <c r="A13114" s="5">
        <f>13106</f>
      </c>
      <c r="B13114" s="5" t="s">
        <v>12385</v>
      </c>
      <c r="C13114" s="5" t="s">
        <v>11</v>
      </c>
      <c r="D13114" s="5" t="s">
        <v>12</v>
      </c>
      <c r="E13114" s="5" t="s">
        <v>1074</v>
      </c>
    </row>
    <row r="13115" spans="1:5" x14ac:dyDescent="0.25">
      <c r="A13115" s="5">
        <f>13107</f>
      </c>
      <c r="B13115" s="5" t="s">
        <v>12386</v>
      </c>
      <c r="C13115" s="5" t="s">
        <v>11</v>
      </c>
      <c r="D13115" s="5" t="s">
        <v>12</v>
      </c>
      <c r="E13115" s="5" t="s">
        <v>1074</v>
      </c>
    </row>
    <row r="13116" spans="1:5" x14ac:dyDescent="0.25">
      <c r="A13116" s="5">
        <f>13108</f>
      </c>
      <c r="B13116" s="5" t="s">
        <v>12387</v>
      </c>
      <c r="C13116" s="5" t="s">
        <v>11</v>
      </c>
      <c r="D13116" s="5" t="s">
        <v>12</v>
      </c>
      <c r="E13116" s="5" t="s">
        <v>1074</v>
      </c>
    </row>
    <row r="13117" spans="1:5" x14ac:dyDescent="0.25">
      <c r="A13117" s="5">
        <f>13109</f>
      </c>
      <c r="B13117" s="5" t="s">
        <v>12388</v>
      </c>
      <c r="C13117" s="5" t="s">
        <v>11</v>
      </c>
      <c r="D13117" s="5" t="s">
        <v>12</v>
      </c>
      <c r="E13117" s="5" t="s">
        <v>1074</v>
      </c>
    </row>
    <row r="13118" spans="1:5" x14ac:dyDescent="0.25">
      <c r="A13118" s="5">
        <f>13110</f>
      </c>
      <c r="B13118" s="5" t="s">
        <v>12389</v>
      </c>
      <c r="C13118" s="5" t="s">
        <v>11</v>
      </c>
      <c r="D13118" s="5" t="s">
        <v>12</v>
      </c>
      <c r="E13118" s="5" t="s">
        <v>1074</v>
      </c>
    </row>
    <row r="13119" spans="1:5" x14ac:dyDescent="0.25">
      <c r="A13119" s="5">
        <f>13111</f>
      </c>
      <c r="B13119" s="5" t="s">
        <v>12390</v>
      </c>
      <c r="C13119" s="5" t="s">
        <v>11</v>
      </c>
      <c r="D13119" s="5" t="s">
        <v>12</v>
      </c>
      <c r="E13119" s="5" t="s">
        <v>1074</v>
      </c>
    </row>
    <row r="13120" spans="1:5" x14ac:dyDescent="0.25">
      <c r="A13120" s="5">
        <f>13112</f>
      </c>
      <c r="B13120" s="5" t="s">
        <v>12391</v>
      </c>
      <c r="C13120" s="5" t="s">
        <v>11</v>
      </c>
      <c r="D13120" s="5" t="s">
        <v>12</v>
      </c>
      <c r="E13120" s="5" t="s">
        <v>1074</v>
      </c>
    </row>
    <row r="13121" spans="1:5" x14ac:dyDescent="0.25">
      <c r="A13121" s="5">
        <f>13113</f>
      </c>
      <c r="B13121" s="5" t="s">
        <v>12392</v>
      </c>
      <c r="C13121" s="5" t="s">
        <v>11</v>
      </c>
      <c r="D13121" s="5" t="s">
        <v>12</v>
      </c>
      <c r="E13121" s="5" t="s">
        <v>1074</v>
      </c>
    </row>
    <row r="13122" spans="1:5" x14ac:dyDescent="0.25">
      <c r="A13122" s="5">
        <f>13114</f>
      </c>
      <c r="B13122" s="5" t="s">
        <v>12393</v>
      </c>
      <c r="C13122" s="5" t="s">
        <v>11</v>
      </c>
      <c r="D13122" s="5" t="s">
        <v>12</v>
      </c>
      <c r="E13122" s="5" t="s">
        <v>1074</v>
      </c>
    </row>
    <row r="13123" spans="1:5" x14ac:dyDescent="0.25">
      <c r="A13123" s="5">
        <f>13115</f>
      </c>
      <c r="B13123" s="5" t="s">
        <v>12394</v>
      </c>
      <c r="C13123" s="5" t="s">
        <v>11</v>
      </c>
      <c r="D13123" s="5" t="s">
        <v>12</v>
      </c>
      <c r="E13123" s="5" t="s">
        <v>1074</v>
      </c>
    </row>
    <row r="13124" spans="1:5" x14ac:dyDescent="0.25">
      <c r="A13124" s="5">
        <f>13116</f>
      </c>
      <c r="B13124" s="5" t="s">
        <v>12395</v>
      </c>
      <c r="C13124" s="5" t="s">
        <v>11</v>
      </c>
      <c r="D13124" s="5" t="s">
        <v>12</v>
      </c>
      <c r="E13124" s="5" t="s">
        <v>1074</v>
      </c>
    </row>
    <row r="13125" spans="1:5" x14ac:dyDescent="0.25">
      <c r="A13125" s="5">
        <f>13117</f>
      </c>
      <c r="B13125" s="5" t="s">
        <v>12396</v>
      </c>
      <c r="C13125" s="5" t="s">
        <v>11</v>
      </c>
      <c r="D13125" s="5" t="s">
        <v>12</v>
      </c>
      <c r="E13125" s="5" t="s">
        <v>1074</v>
      </c>
    </row>
    <row r="13126" spans="1:5" x14ac:dyDescent="0.25">
      <c r="A13126" s="5">
        <f>13118</f>
      </c>
      <c r="B13126" s="5" t="s">
        <v>12397</v>
      </c>
      <c r="C13126" s="5" t="s">
        <v>11</v>
      </c>
      <c r="D13126" s="5" t="s">
        <v>12</v>
      </c>
      <c r="E13126" s="5" t="s">
        <v>728</v>
      </c>
    </row>
    <row r="13127" spans="1:5" x14ac:dyDescent="0.25">
      <c r="A13127" s="5">
        <f>13119</f>
      </c>
      <c r="B13127" s="5" t="s">
        <v>12398</v>
      </c>
      <c r="C13127" s="5" t="s">
        <v>11</v>
      </c>
      <c r="D13127" s="5" t="s">
        <v>12</v>
      </c>
      <c r="E13127" s="5" t="s">
        <v>734</v>
      </c>
    </row>
    <row r="13128" spans="1:5" x14ac:dyDescent="0.25">
      <c r="A13128" s="5">
        <f>13120</f>
      </c>
      <c r="B13128" s="5" t="s">
        <v>12399</v>
      </c>
      <c r="C13128" s="5" t="s">
        <v>11</v>
      </c>
      <c r="D13128" s="5" t="s">
        <v>12</v>
      </c>
      <c r="E13128" s="5" t="s">
        <v>3761</v>
      </c>
    </row>
    <row r="13129" spans="1:5" x14ac:dyDescent="0.25">
      <c r="A13129" s="5">
        <f>13121</f>
      </c>
      <c r="B13129" s="5" t="s">
        <v>12400</v>
      </c>
      <c r="C13129" s="5" t="s">
        <v>11</v>
      </c>
      <c r="D13129" s="5" t="s">
        <v>12</v>
      </c>
      <c r="E13129" s="5" t="s">
        <v>2307</v>
      </c>
    </row>
    <row r="13130" spans="1:5" x14ac:dyDescent="0.25">
      <c r="A13130" s="5">
        <f>13122</f>
      </c>
      <c r="B13130" s="5" t="s">
        <v>12401</v>
      </c>
      <c r="C13130" s="5" t="s">
        <v>11</v>
      </c>
      <c r="D13130" s="5" t="s">
        <v>12</v>
      </c>
      <c r="E13130" s="5" t="s">
        <v>846</v>
      </c>
    </row>
    <row r="13131" spans="1:5" x14ac:dyDescent="0.25">
      <c r="A13131" s="5">
        <f>13123</f>
      </c>
      <c r="B13131" s="5" t="s">
        <v>12402</v>
      </c>
      <c r="C13131" s="5" t="s">
        <v>11</v>
      </c>
      <c r="D13131" s="5" t="s">
        <v>12</v>
      </c>
      <c r="E13131" s="5" t="s">
        <v>846</v>
      </c>
    </row>
    <row r="13132" spans="1:5" x14ac:dyDescent="0.25">
      <c r="A13132" s="5">
        <f>13124</f>
      </c>
      <c r="B13132" s="5" t="s">
        <v>12403</v>
      </c>
      <c r="C13132" s="5" t="s">
        <v>11</v>
      </c>
      <c r="D13132" s="5" t="s">
        <v>12</v>
      </c>
      <c r="E13132" s="5" t="s">
        <v>4075</v>
      </c>
    </row>
    <row r="13133" spans="1:5" x14ac:dyDescent="0.25">
      <c r="A13133" s="5">
        <f>13125</f>
      </c>
      <c r="B13133" s="5" t="s">
        <v>12404</v>
      </c>
      <c r="C13133" s="5" t="s">
        <v>11</v>
      </c>
      <c r="D13133" s="5" t="s">
        <v>12</v>
      </c>
      <c r="E13133" s="5" t="s">
        <v>4075</v>
      </c>
    </row>
    <row r="13134" spans="1:5" x14ac:dyDescent="0.25">
      <c r="A13134" s="5">
        <f>13126</f>
      </c>
      <c r="B13134" s="5" t="s">
        <v>12405</v>
      </c>
      <c r="C13134" s="5" t="s">
        <v>11</v>
      </c>
      <c r="D13134" s="5" t="s">
        <v>12</v>
      </c>
      <c r="E13134" s="5" t="s">
        <v>10843</v>
      </c>
    </row>
    <row r="13135" spans="1:5" x14ac:dyDescent="0.25">
      <c r="A13135" s="5">
        <f>13127</f>
      </c>
      <c r="B13135" s="5" t="s">
        <v>12406</v>
      </c>
      <c r="C13135" s="5" t="s">
        <v>11</v>
      </c>
      <c r="D13135" s="5" t="s">
        <v>12</v>
      </c>
      <c r="E13135" s="5" t="s">
        <v>10843</v>
      </c>
    </row>
    <row r="13136" spans="1:5" x14ac:dyDescent="0.25">
      <c r="A13136" s="5">
        <f>13128</f>
      </c>
      <c r="B13136" s="5" t="s">
        <v>12407</v>
      </c>
      <c r="C13136" s="5" t="s">
        <v>11</v>
      </c>
      <c r="D13136" s="5" t="s">
        <v>12</v>
      </c>
      <c r="E13136" s="5" t="s">
        <v>2253</v>
      </c>
    </row>
    <row r="13137" spans="1:5" x14ac:dyDescent="0.25">
      <c r="A13137" s="5">
        <f>13129</f>
      </c>
      <c r="B13137" s="5" t="s">
        <v>12408</v>
      </c>
      <c r="C13137" s="5" t="s">
        <v>11</v>
      </c>
      <c r="D13137" s="5" t="s">
        <v>12</v>
      </c>
      <c r="E13137" s="5" t="s">
        <v>2253</v>
      </c>
    </row>
    <row r="13138" spans="1:5" x14ac:dyDescent="0.25">
      <c r="A13138" s="5">
        <f>13130</f>
      </c>
      <c r="B13138" s="5" t="s">
        <v>12409</v>
      </c>
      <c r="C13138" s="5" t="s">
        <v>11</v>
      </c>
      <c r="D13138" s="5" t="s">
        <v>12</v>
      </c>
      <c r="E13138" s="5" t="s">
        <v>3559</v>
      </c>
    </row>
    <row r="13139" spans="1:5" x14ac:dyDescent="0.25">
      <c r="A13139" s="5">
        <f>13131</f>
      </c>
      <c r="B13139" s="5" t="s">
        <v>12410</v>
      </c>
      <c r="C13139" s="5" t="s">
        <v>11</v>
      </c>
      <c r="D13139" s="5" t="s">
        <v>12</v>
      </c>
      <c r="E13139" s="5" t="s">
        <v>3559</v>
      </c>
    </row>
    <row r="13140" spans="1:5" x14ac:dyDescent="0.25">
      <c r="A13140" s="5">
        <f>13132</f>
      </c>
      <c r="B13140" s="5" t="s">
        <v>12411</v>
      </c>
      <c r="C13140" s="5" t="s">
        <v>11</v>
      </c>
      <c r="D13140" s="5" t="s">
        <v>12</v>
      </c>
      <c r="E13140" s="5" t="s">
        <v>2298</v>
      </c>
    </row>
    <row r="13141" spans="1:5" x14ac:dyDescent="0.25">
      <c r="A13141" s="5">
        <f>13133</f>
      </c>
      <c r="B13141" s="5" t="s">
        <v>12412</v>
      </c>
      <c r="C13141" s="5" t="s">
        <v>11</v>
      </c>
      <c r="D13141" s="5" t="s">
        <v>12</v>
      </c>
      <c r="E13141" s="5" t="s">
        <v>2298</v>
      </c>
    </row>
    <row r="13142" spans="1:5" x14ac:dyDescent="0.25">
      <c r="A13142" s="5">
        <f>13134</f>
      </c>
      <c r="B13142" s="5" t="s">
        <v>12413</v>
      </c>
      <c r="C13142" s="5" t="s">
        <v>11</v>
      </c>
      <c r="D13142" s="5" t="s">
        <v>12</v>
      </c>
      <c r="E13142" s="5" t="s">
        <v>2577</v>
      </c>
    </row>
    <row r="13143" spans="1:5" x14ac:dyDescent="0.25">
      <c r="A13143" s="5">
        <f>13135</f>
      </c>
      <c r="B13143" s="5" t="s">
        <v>12414</v>
      </c>
      <c r="C13143" s="5" t="s">
        <v>11</v>
      </c>
      <c r="D13143" s="5" t="s">
        <v>12</v>
      </c>
      <c r="E13143" s="5" t="s">
        <v>2577</v>
      </c>
    </row>
    <row r="13144" spans="1:5" x14ac:dyDescent="0.25">
      <c r="A13144" s="5">
        <f>13136</f>
      </c>
      <c r="B13144" s="5" t="s">
        <v>12415</v>
      </c>
      <c r="C13144" s="5" t="s">
        <v>11</v>
      </c>
      <c r="D13144" s="5" t="s">
        <v>12</v>
      </c>
      <c r="E13144" s="5" t="s">
        <v>3869</v>
      </c>
    </row>
    <row r="13145" spans="1:5" x14ac:dyDescent="0.25">
      <c r="A13145" s="5">
        <f>13137</f>
      </c>
      <c r="B13145" s="5" t="s">
        <v>12416</v>
      </c>
      <c r="C13145" s="5" t="s">
        <v>11</v>
      </c>
      <c r="D13145" s="5" t="s">
        <v>12</v>
      </c>
      <c r="E13145" s="5" t="s">
        <v>990</v>
      </c>
    </row>
    <row r="13146" spans="1:5" x14ac:dyDescent="0.25">
      <c r="A13146" s="5">
        <f>13138</f>
      </c>
      <c r="B13146" s="5" t="s">
        <v>12417</v>
      </c>
      <c r="C13146" s="5" t="s">
        <v>11</v>
      </c>
      <c r="D13146" s="5" t="s">
        <v>12</v>
      </c>
      <c r="E13146" s="5" t="s">
        <v>775</v>
      </c>
    </row>
    <row r="13147" spans="1:5" x14ac:dyDescent="0.25">
      <c r="A13147" s="5">
        <f>13139</f>
      </c>
      <c r="B13147" s="5" t="s">
        <v>12418</v>
      </c>
      <c r="C13147" s="5" t="s">
        <v>11</v>
      </c>
      <c r="D13147" s="5" t="s">
        <v>12</v>
      </c>
      <c r="E13147" s="5" t="s">
        <v>996</v>
      </c>
    </row>
    <row r="13148" spans="1:5" x14ac:dyDescent="0.25">
      <c r="A13148" s="5">
        <f>13140</f>
      </c>
      <c r="B13148" s="5" t="s">
        <v>12419</v>
      </c>
      <c r="C13148" s="5" t="s">
        <v>11</v>
      </c>
      <c r="D13148" s="5" t="s">
        <v>12</v>
      </c>
      <c r="E13148" s="5" t="s">
        <v>3386</v>
      </c>
    </row>
    <row r="13149" spans="1:5" x14ac:dyDescent="0.25">
      <c r="A13149" s="5">
        <f>13141</f>
      </c>
      <c r="B13149" s="5" t="s">
        <v>12420</v>
      </c>
      <c r="C13149" s="5" t="s">
        <v>11</v>
      </c>
      <c r="D13149" s="5" t="s">
        <v>12</v>
      </c>
      <c r="E13149" s="5" t="s">
        <v>4051</v>
      </c>
    </row>
    <row r="13150" spans="1:5" x14ac:dyDescent="0.25">
      <c r="A13150" s="5">
        <f>13142</f>
      </c>
      <c r="B13150" s="5" t="s">
        <v>12421</v>
      </c>
      <c r="C13150" s="5" t="s">
        <v>11</v>
      </c>
      <c r="D13150" s="5" t="s">
        <v>12</v>
      </c>
      <c r="E13150" s="5" t="s">
        <v>3530</v>
      </c>
    </row>
    <row r="13151" spans="1:5" x14ac:dyDescent="0.25">
      <c r="A13151" s="5">
        <f>13143</f>
      </c>
      <c r="B13151" s="5" t="s">
        <v>12422</v>
      </c>
      <c r="C13151" s="5" t="s">
        <v>11</v>
      </c>
      <c r="D13151" s="5" t="s">
        <v>12</v>
      </c>
      <c r="E13151" s="5" t="s">
        <v>736</v>
      </c>
    </row>
    <row r="13152" spans="1:5" x14ac:dyDescent="0.25">
      <c r="A13152" s="5">
        <f>13144</f>
      </c>
      <c r="B13152" s="5" t="s">
        <v>12423</v>
      </c>
      <c r="C13152" s="5" t="s">
        <v>11</v>
      </c>
      <c r="D13152" s="5" t="s">
        <v>12</v>
      </c>
      <c r="E13152" s="5" t="s">
        <v>990</v>
      </c>
    </row>
    <row r="13153" spans="1:5" x14ac:dyDescent="0.25">
      <c r="A13153" s="5">
        <f>13145</f>
      </c>
      <c r="B13153" s="5" t="s">
        <v>12424</v>
      </c>
      <c r="C13153" s="5" t="s">
        <v>11</v>
      </c>
      <c r="D13153" s="5" t="s">
        <v>12</v>
      </c>
      <c r="E13153" s="5" t="s">
        <v>4039</v>
      </c>
    </row>
    <row r="13154" spans="1:5" x14ac:dyDescent="0.25">
      <c r="A13154" s="5">
        <f>13146</f>
      </c>
      <c r="B13154" s="5" t="s">
        <v>12425</v>
      </c>
      <c r="C13154" s="5" t="s">
        <v>11</v>
      </c>
      <c r="D13154" s="5" t="s">
        <v>12</v>
      </c>
      <c r="E13154" s="5" t="s">
        <v>4156</v>
      </c>
    </row>
    <row r="13155" spans="1:5" x14ac:dyDescent="0.25">
      <c r="A13155" s="5">
        <f>13147</f>
      </c>
      <c r="B13155" s="5" t="s">
        <v>12426</v>
      </c>
      <c r="C13155" s="5" t="s">
        <v>11</v>
      </c>
      <c r="D13155" s="5" t="s">
        <v>12</v>
      </c>
      <c r="E13155" s="5" t="s">
        <v>11414</v>
      </c>
    </row>
    <row r="13156" spans="1:5" x14ac:dyDescent="0.25">
      <c r="A13156" s="5">
        <f>13148</f>
      </c>
      <c r="B13156" s="5" t="s">
        <v>12427</v>
      </c>
      <c r="C13156" s="5" t="s">
        <v>11</v>
      </c>
      <c r="D13156" s="5" t="s">
        <v>12</v>
      </c>
      <c r="E13156" s="5" t="s">
        <v>3559</v>
      </c>
    </row>
    <row r="13157" spans="1:5" x14ac:dyDescent="0.25">
      <c r="A13157" s="5">
        <f>13149</f>
      </c>
      <c r="B13157" s="5" t="s">
        <v>12428</v>
      </c>
      <c r="C13157" s="5" t="s">
        <v>11</v>
      </c>
      <c r="D13157" s="5" t="s">
        <v>12</v>
      </c>
      <c r="E13157" s="5" t="s">
        <v>2819</v>
      </c>
    </row>
    <row r="13158" spans="1:5" x14ac:dyDescent="0.25">
      <c r="A13158" s="5">
        <f>13150</f>
      </c>
      <c r="B13158" s="5" t="s">
        <v>12429</v>
      </c>
      <c r="C13158" s="5" t="s">
        <v>11</v>
      </c>
      <c r="D13158" s="5" t="s">
        <v>12</v>
      </c>
      <c r="E13158" s="5" t="s">
        <v>730</v>
      </c>
    </row>
    <row r="13159" spans="1:5" x14ac:dyDescent="0.25">
      <c r="A13159" s="5">
        <f>13151</f>
      </c>
      <c r="B13159" s="5" t="s">
        <v>12430</v>
      </c>
      <c r="C13159" s="5" t="s">
        <v>11</v>
      </c>
      <c r="D13159" s="5" t="s">
        <v>12</v>
      </c>
      <c r="E13159" s="5" t="s">
        <v>2316</v>
      </c>
    </row>
    <row r="13160" spans="1:5" x14ac:dyDescent="0.25">
      <c r="A13160" s="5">
        <f>13152</f>
      </c>
      <c r="B13160" s="5" t="s">
        <v>12431</v>
      </c>
      <c r="C13160" s="5" t="s">
        <v>11</v>
      </c>
      <c r="D13160" s="5" t="s">
        <v>12</v>
      </c>
      <c r="E13160" s="5" t="s">
        <v>2316</v>
      </c>
    </row>
    <row r="13161" spans="1:5" x14ac:dyDescent="0.25">
      <c r="A13161" s="5">
        <f>13153</f>
      </c>
      <c r="B13161" s="5" t="s">
        <v>12432</v>
      </c>
      <c r="C13161" s="5" t="s">
        <v>11</v>
      </c>
      <c r="D13161" s="5" t="s">
        <v>12</v>
      </c>
      <c r="E13161" s="5" t="s">
        <v>3571</v>
      </c>
    </row>
    <row r="13162" spans="1:5" x14ac:dyDescent="0.25">
      <c r="A13162" s="5">
        <f>13154</f>
      </c>
      <c r="B13162" s="5" t="s">
        <v>12433</v>
      </c>
      <c r="C13162" s="5" t="s">
        <v>11</v>
      </c>
      <c r="D13162" s="5" t="s">
        <v>12</v>
      </c>
      <c r="E13162" s="5" t="s">
        <v>1022</v>
      </c>
    </row>
    <row r="13163" spans="1:5" x14ac:dyDescent="0.25">
      <c r="A13163" s="5">
        <f>13155</f>
      </c>
      <c r="B13163" s="5" t="s">
        <v>12434</v>
      </c>
      <c r="C13163" s="5" t="s">
        <v>11</v>
      </c>
      <c r="D13163" s="5" t="s">
        <v>12</v>
      </c>
      <c r="E13163" s="5" t="s">
        <v>2302</v>
      </c>
    </row>
    <row r="13164" spans="1:5" x14ac:dyDescent="0.25">
      <c r="A13164" s="5">
        <f>13156</f>
      </c>
      <c r="B13164" s="5" t="s">
        <v>12435</v>
      </c>
      <c r="C13164" s="5" t="s">
        <v>11</v>
      </c>
      <c r="D13164" s="5" t="s">
        <v>12</v>
      </c>
      <c r="E13164" s="5" t="s">
        <v>871</v>
      </c>
    </row>
    <row r="13165" spans="1:5" x14ac:dyDescent="0.25">
      <c r="A13165" s="5">
        <f>13157</f>
      </c>
      <c r="B13165" s="5" t="s">
        <v>12436</v>
      </c>
      <c r="C13165" s="5" t="s">
        <v>11</v>
      </c>
      <c r="D13165" s="5" t="s">
        <v>12</v>
      </c>
      <c r="E13165" s="5" t="s">
        <v>4051</v>
      </c>
    </row>
    <row r="13166" spans="1:5" x14ac:dyDescent="0.25">
      <c r="A13166" s="5">
        <f>13158</f>
      </c>
      <c r="B13166" s="5" t="s">
        <v>12437</v>
      </c>
      <c r="C13166" s="5" t="s">
        <v>11</v>
      </c>
      <c r="D13166" s="5" t="s">
        <v>12</v>
      </c>
      <c r="E13166" s="5" t="s">
        <v>2619</v>
      </c>
    </row>
    <row r="13167" spans="1:5" x14ac:dyDescent="0.25">
      <c r="A13167" s="5">
        <f>13159</f>
      </c>
      <c r="B13167" s="5" t="s">
        <v>12438</v>
      </c>
      <c r="C13167" s="5" t="s">
        <v>11</v>
      </c>
      <c r="D13167" s="5" t="s">
        <v>12</v>
      </c>
      <c r="E13167" s="5" t="s">
        <v>1002</v>
      </c>
    </row>
    <row r="13168" spans="1:5" x14ac:dyDescent="0.25">
      <c r="A13168" s="5">
        <f>13160</f>
      </c>
      <c r="B13168" s="5" t="s">
        <v>12439</v>
      </c>
      <c r="C13168" s="5" t="s">
        <v>11</v>
      </c>
      <c r="D13168" s="5" t="s">
        <v>12</v>
      </c>
      <c r="E13168" s="5" t="s">
        <v>1002</v>
      </c>
    </row>
    <row r="13169" spans="1:5" x14ac:dyDescent="0.25">
      <c r="A13169" s="5">
        <f>13161</f>
      </c>
      <c r="B13169" s="5" t="s">
        <v>12440</v>
      </c>
      <c r="C13169" s="5" t="s">
        <v>11</v>
      </c>
      <c r="D13169" s="5" t="s">
        <v>12</v>
      </c>
      <c r="E13169" s="5" t="s">
        <v>10580</v>
      </c>
    </row>
    <row r="13170" spans="1:5" x14ac:dyDescent="0.25">
      <c r="A13170" s="5">
        <f>13162</f>
      </c>
      <c r="B13170" s="5" t="s">
        <v>12441</v>
      </c>
      <c r="C13170" s="5" t="s">
        <v>11</v>
      </c>
      <c r="D13170" s="5" t="s">
        <v>12</v>
      </c>
      <c r="E13170" s="5" t="s">
        <v>3621</v>
      </c>
    </row>
    <row r="13171" spans="1:5" x14ac:dyDescent="0.25">
      <c r="A13171" s="5">
        <f>13163</f>
      </c>
      <c r="B13171" s="5" t="s">
        <v>12442</v>
      </c>
      <c r="C13171" s="5" t="s">
        <v>11</v>
      </c>
      <c r="D13171" s="5" t="s">
        <v>12</v>
      </c>
      <c r="E13171" s="5" t="s">
        <v>3610</v>
      </c>
    </row>
    <row r="13172" spans="1:5" x14ac:dyDescent="0.25">
      <c r="A13172" s="5">
        <f>13164</f>
      </c>
      <c r="B13172" s="5" t="s">
        <v>12443</v>
      </c>
      <c r="C13172" s="5" t="s">
        <v>11</v>
      </c>
      <c r="D13172" s="5" t="s">
        <v>12</v>
      </c>
      <c r="E13172" s="5" t="s">
        <v>835</v>
      </c>
    </row>
    <row r="13173" spans="1:5" x14ac:dyDescent="0.25">
      <c r="A13173" s="5">
        <f>13165</f>
      </c>
      <c r="B13173" s="5" t="s">
        <v>12444</v>
      </c>
      <c r="C13173" s="5" t="s">
        <v>11</v>
      </c>
      <c r="D13173" s="5" t="s">
        <v>12</v>
      </c>
      <c r="E13173" s="5" t="s">
        <v>2869</v>
      </c>
    </row>
    <row r="13174" spans="1:5" x14ac:dyDescent="0.25">
      <c r="A13174" s="5">
        <f>13166</f>
      </c>
      <c r="B13174" s="5" t="s">
        <v>12445</v>
      </c>
      <c r="C13174" s="5" t="s">
        <v>11</v>
      </c>
      <c r="D13174" s="5" t="s">
        <v>12</v>
      </c>
      <c r="E13174" s="5" t="s">
        <v>3604</v>
      </c>
    </row>
    <row r="13175" spans="1:5" x14ac:dyDescent="0.25">
      <c r="A13175" s="5">
        <f>13167</f>
      </c>
      <c r="B13175" s="5" t="s">
        <v>12446</v>
      </c>
      <c r="C13175" s="5" t="s">
        <v>11</v>
      </c>
      <c r="D13175" s="5" t="s">
        <v>12</v>
      </c>
      <c r="E13175" s="5" t="s">
        <v>921</v>
      </c>
    </row>
    <row r="13176" spans="1:5" x14ac:dyDescent="0.25">
      <c r="A13176" s="5">
        <f>13168</f>
      </c>
      <c r="B13176" s="5" t="s">
        <v>12447</v>
      </c>
      <c r="C13176" s="5" t="s">
        <v>11</v>
      </c>
      <c r="D13176" s="5" t="s">
        <v>12</v>
      </c>
      <c r="E13176" s="5" t="s">
        <v>2873</v>
      </c>
    </row>
    <row r="13177" spans="1:5" x14ac:dyDescent="0.25">
      <c r="A13177" s="5">
        <f>13169</f>
      </c>
      <c r="B13177" s="5" t="s">
        <v>12448</v>
      </c>
      <c r="C13177" s="5" t="s">
        <v>11</v>
      </c>
      <c r="D13177" s="5" t="s">
        <v>12</v>
      </c>
      <c r="E13177" s="5" t="s">
        <v>927</v>
      </c>
    </row>
    <row r="13178" spans="1:5" x14ac:dyDescent="0.25">
      <c r="A13178" s="5">
        <f>13170</f>
      </c>
      <c r="B13178" s="5" t="s">
        <v>12449</v>
      </c>
      <c r="C13178" s="5" t="s">
        <v>11</v>
      </c>
      <c r="D13178" s="5" t="s">
        <v>12</v>
      </c>
      <c r="E13178" s="5" t="s">
        <v>778</v>
      </c>
    </row>
    <row r="13179" spans="1:5" x14ac:dyDescent="0.25">
      <c r="A13179" s="5">
        <f>13171</f>
      </c>
      <c r="B13179" s="5" t="s">
        <v>12450</v>
      </c>
      <c r="C13179" s="5" t="s">
        <v>11</v>
      </c>
      <c r="D13179" s="5" t="s">
        <v>12</v>
      </c>
      <c r="E13179" s="5" t="s">
        <v>3500</v>
      </c>
    </row>
    <row r="13180" spans="1:5" x14ac:dyDescent="0.25">
      <c r="A13180" s="5">
        <f>13172</f>
      </c>
      <c r="B13180" s="5" t="s">
        <v>12451</v>
      </c>
      <c r="C13180" s="5" t="s">
        <v>11</v>
      </c>
      <c r="D13180" s="5" t="s">
        <v>12</v>
      </c>
      <c r="E13180" s="5" t="s">
        <v>999</v>
      </c>
    </row>
    <row r="13181" spans="1:5" x14ac:dyDescent="0.25">
      <c r="A13181" s="5">
        <f>13173</f>
      </c>
      <c r="B13181" s="5" t="s">
        <v>12452</v>
      </c>
      <c r="C13181" s="5" t="s">
        <v>11</v>
      </c>
      <c r="D13181" s="5" t="s">
        <v>12</v>
      </c>
      <c r="E13181" s="5" t="s">
        <v>718</v>
      </c>
    </row>
    <row r="13182" spans="1:5" x14ac:dyDescent="0.25">
      <c r="A13182" s="5">
        <f>13174</f>
      </c>
      <c r="B13182" s="5" t="s">
        <v>12453</v>
      </c>
      <c r="C13182" s="5" t="s">
        <v>11</v>
      </c>
      <c r="D13182" s="5" t="s">
        <v>12</v>
      </c>
      <c r="E13182" s="5" t="s">
        <v>718</v>
      </c>
    </row>
    <row r="13183" spans="1:5" x14ac:dyDescent="0.25">
      <c r="A13183" s="5">
        <f>13175</f>
      </c>
      <c r="B13183" s="5" t="s">
        <v>12454</v>
      </c>
      <c r="C13183" s="5" t="s">
        <v>11</v>
      </c>
      <c r="D13183" s="5" t="s">
        <v>12</v>
      </c>
      <c r="E13183" s="5" t="s">
        <v>718</v>
      </c>
    </row>
    <row r="13184" spans="1:5" x14ac:dyDescent="0.25">
      <c r="A13184" s="5">
        <f>13176</f>
      </c>
      <c r="B13184" s="5" t="s">
        <v>12455</v>
      </c>
      <c r="C13184" s="5" t="s">
        <v>11</v>
      </c>
      <c r="D13184" s="5" t="s">
        <v>12</v>
      </c>
      <c r="E13184" s="5" t="s">
        <v>718</v>
      </c>
    </row>
    <row r="13185" spans="1:5" x14ac:dyDescent="0.25">
      <c r="A13185" s="5">
        <f>13177</f>
      </c>
      <c r="B13185" s="5" t="s">
        <v>12456</v>
      </c>
      <c r="C13185" s="5" t="s">
        <v>11</v>
      </c>
      <c r="D13185" s="5" t="s">
        <v>12</v>
      </c>
      <c r="E13185" s="5" t="s">
        <v>718</v>
      </c>
    </row>
    <row r="13186" spans="1:5" x14ac:dyDescent="0.25">
      <c r="A13186" s="5">
        <f>13178</f>
      </c>
      <c r="B13186" s="5" t="s">
        <v>12457</v>
      </c>
      <c r="C13186" s="5" t="s">
        <v>11</v>
      </c>
      <c r="D13186" s="5" t="s">
        <v>12</v>
      </c>
      <c r="E13186" s="5" t="s">
        <v>718</v>
      </c>
    </row>
    <row r="13187" spans="1:5" x14ac:dyDescent="0.25">
      <c r="A13187" s="5">
        <f>13179</f>
      </c>
      <c r="B13187" s="5" t="s">
        <v>12458</v>
      </c>
      <c r="C13187" s="5" t="s">
        <v>11</v>
      </c>
      <c r="D13187" s="5" t="s">
        <v>12</v>
      </c>
      <c r="E13187" s="5" t="s">
        <v>718</v>
      </c>
    </row>
    <row r="13188" spans="1:5" x14ac:dyDescent="0.25">
      <c r="A13188" s="5">
        <f>13180</f>
      </c>
      <c r="B13188" s="5" t="s">
        <v>12459</v>
      </c>
      <c r="C13188" s="5" t="s">
        <v>11</v>
      </c>
      <c r="D13188" s="5" t="s">
        <v>12</v>
      </c>
      <c r="E13188" s="5" t="s">
        <v>718</v>
      </c>
    </row>
    <row r="13189" spans="1:5" x14ac:dyDescent="0.25">
      <c r="A13189" s="5">
        <f>13181</f>
      </c>
      <c r="B13189" s="5" t="s">
        <v>12460</v>
      </c>
      <c r="C13189" s="5" t="s">
        <v>11</v>
      </c>
      <c r="D13189" s="5" t="s">
        <v>12</v>
      </c>
      <c r="E13189" s="5" t="s">
        <v>718</v>
      </c>
    </row>
    <row r="13190" spans="1:5" x14ac:dyDescent="0.25">
      <c r="A13190" s="5">
        <f>13182</f>
      </c>
      <c r="B13190" s="5" t="s">
        <v>12461</v>
      </c>
      <c r="C13190" s="5" t="s">
        <v>11</v>
      </c>
      <c r="D13190" s="5" t="s">
        <v>12</v>
      </c>
      <c r="E13190" s="5" t="s">
        <v>718</v>
      </c>
    </row>
    <row r="13191" spans="1:5" x14ac:dyDescent="0.25">
      <c r="A13191" s="5">
        <f>13183</f>
      </c>
      <c r="B13191" s="5" t="s">
        <v>12462</v>
      </c>
      <c r="C13191" s="5" t="s">
        <v>11</v>
      </c>
      <c r="D13191" s="5" t="s">
        <v>12</v>
      </c>
      <c r="E13191" s="5" t="s">
        <v>718</v>
      </c>
    </row>
    <row r="13192" spans="1:5" x14ac:dyDescent="0.25">
      <c r="A13192" s="5">
        <f>13184</f>
      </c>
      <c r="B13192" s="5" t="s">
        <v>12463</v>
      </c>
      <c r="C13192" s="5" t="s">
        <v>11</v>
      </c>
      <c r="D13192" s="5" t="s">
        <v>12</v>
      </c>
      <c r="E13192" s="5" t="s">
        <v>718</v>
      </c>
    </row>
    <row r="13193" spans="1:5" x14ac:dyDescent="0.25">
      <c r="A13193" s="5">
        <f>13185</f>
      </c>
      <c r="B13193" s="5" t="s">
        <v>12464</v>
      </c>
      <c r="C13193" s="5" t="s">
        <v>11</v>
      </c>
      <c r="D13193" s="5" t="s">
        <v>12</v>
      </c>
      <c r="E13193" s="5" t="s">
        <v>871</v>
      </c>
    </row>
    <row r="13194" spans="1:5" x14ac:dyDescent="0.25">
      <c r="A13194" s="5">
        <f>13186</f>
      </c>
      <c r="B13194" s="5" t="s">
        <v>12465</v>
      </c>
      <c r="C13194" s="5" t="s">
        <v>11</v>
      </c>
      <c r="D13194" s="5" t="s">
        <v>12</v>
      </c>
      <c r="E13194" s="5" t="s">
        <v>871</v>
      </c>
    </row>
    <row r="13195" spans="1:5" x14ac:dyDescent="0.25">
      <c r="A13195" s="5">
        <f>13187</f>
      </c>
      <c r="B13195" s="5" t="s">
        <v>12466</v>
      </c>
      <c r="C13195" s="5" t="s">
        <v>11</v>
      </c>
      <c r="D13195" s="5" t="s">
        <v>12</v>
      </c>
      <c r="E13195" s="5" t="s">
        <v>871</v>
      </c>
    </row>
    <row r="13196" spans="1:5" x14ac:dyDescent="0.25">
      <c r="A13196" s="5">
        <f>13188</f>
      </c>
      <c r="B13196" s="5" t="s">
        <v>12467</v>
      </c>
      <c r="C13196" s="5" t="s">
        <v>11</v>
      </c>
      <c r="D13196" s="5" t="s">
        <v>12</v>
      </c>
      <c r="E13196" s="5" t="s">
        <v>871</v>
      </c>
    </row>
    <row r="13197" spans="1:5" x14ac:dyDescent="0.25">
      <c r="A13197" s="5">
        <f>13189</f>
      </c>
      <c r="B13197" s="5" t="s">
        <v>12468</v>
      </c>
      <c r="C13197" s="5" t="s">
        <v>11</v>
      </c>
      <c r="D13197" s="5" t="s">
        <v>12</v>
      </c>
      <c r="E13197" s="5" t="s">
        <v>871</v>
      </c>
    </row>
    <row r="13198" spans="1:5" x14ac:dyDescent="0.25">
      <c r="A13198" s="5">
        <f>13190</f>
      </c>
      <c r="B13198" s="5" t="s">
        <v>12469</v>
      </c>
      <c r="C13198" s="5" t="s">
        <v>11</v>
      </c>
      <c r="D13198" s="5" t="s">
        <v>12</v>
      </c>
      <c r="E13198" s="5" t="s">
        <v>871</v>
      </c>
    </row>
    <row r="13199" spans="1:5" x14ac:dyDescent="0.25">
      <c r="A13199" s="5">
        <f>13191</f>
      </c>
      <c r="B13199" s="5" t="s">
        <v>12470</v>
      </c>
      <c r="C13199" s="5" t="s">
        <v>11</v>
      </c>
      <c r="D13199" s="5" t="s">
        <v>12</v>
      </c>
      <c r="E13199" s="5" t="s">
        <v>871</v>
      </c>
    </row>
    <row r="13200" spans="1:5" x14ac:dyDescent="0.25">
      <c r="A13200" s="5">
        <f>13192</f>
      </c>
      <c r="B13200" s="5" t="s">
        <v>12471</v>
      </c>
      <c r="C13200" s="5" t="s">
        <v>11</v>
      </c>
      <c r="D13200" s="5" t="s">
        <v>12</v>
      </c>
      <c r="E13200" s="5" t="s">
        <v>871</v>
      </c>
    </row>
    <row r="13201" spans="1:5" x14ac:dyDescent="0.25">
      <c r="A13201" s="5">
        <f>13193</f>
      </c>
      <c r="B13201" s="5" t="s">
        <v>12472</v>
      </c>
      <c r="C13201" s="5" t="s">
        <v>11</v>
      </c>
      <c r="D13201" s="5" t="s">
        <v>12</v>
      </c>
      <c r="E13201" s="5" t="s">
        <v>871</v>
      </c>
    </row>
    <row r="13202" spans="1:5" x14ac:dyDescent="0.25">
      <c r="A13202" s="5">
        <f>13194</f>
      </c>
      <c r="B13202" s="5" t="s">
        <v>12473</v>
      </c>
      <c r="C13202" s="5" t="s">
        <v>11</v>
      </c>
      <c r="D13202" s="5" t="s">
        <v>12</v>
      </c>
      <c r="E13202" s="5" t="s">
        <v>871</v>
      </c>
    </row>
    <row r="13203" spans="1:5" x14ac:dyDescent="0.25">
      <c r="A13203" s="5">
        <f>13195</f>
      </c>
      <c r="B13203" s="5" t="s">
        <v>12474</v>
      </c>
      <c r="C13203" s="5" t="s">
        <v>11</v>
      </c>
      <c r="D13203" s="5" t="s">
        <v>12</v>
      </c>
      <c r="E13203" s="5" t="s">
        <v>871</v>
      </c>
    </row>
    <row r="13204" spans="1:5" x14ac:dyDescent="0.25">
      <c r="A13204" s="5">
        <f>13196</f>
      </c>
      <c r="B13204" s="5" t="s">
        <v>12475</v>
      </c>
      <c r="C13204" s="5" t="s">
        <v>11</v>
      </c>
      <c r="D13204" s="5" t="s">
        <v>12</v>
      </c>
      <c r="E13204" s="5" t="s">
        <v>871</v>
      </c>
    </row>
    <row r="13205" spans="1:5" x14ac:dyDescent="0.25">
      <c r="A13205" s="5">
        <f>13197</f>
      </c>
      <c r="B13205" s="5" t="s">
        <v>12476</v>
      </c>
      <c r="C13205" s="5" t="s">
        <v>11</v>
      </c>
      <c r="D13205" s="5" t="s">
        <v>12</v>
      </c>
      <c r="E13205" s="5" t="s">
        <v>871</v>
      </c>
    </row>
    <row r="13206" spans="1:5" x14ac:dyDescent="0.25">
      <c r="A13206" s="5">
        <f>13198</f>
      </c>
      <c r="B13206" s="5" t="s">
        <v>12477</v>
      </c>
      <c r="C13206" s="5" t="s">
        <v>11</v>
      </c>
      <c r="D13206" s="5" t="s">
        <v>12</v>
      </c>
      <c r="E13206" s="5" t="s">
        <v>871</v>
      </c>
    </row>
    <row r="13207" spans="1:5" x14ac:dyDescent="0.25">
      <c r="A13207" s="5">
        <f>13199</f>
      </c>
      <c r="B13207" s="5" t="s">
        <v>12478</v>
      </c>
      <c r="C13207" s="5" t="s">
        <v>11</v>
      </c>
      <c r="D13207" s="5" t="s">
        <v>12</v>
      </c>
      <c r="E13207" s="5" t="s">
        <v>871</v>
      </c>
    </row>
    <row r="13208" spans="1:5" x14ac:dyDescent="0.25">
      <c r="A13208" s="5">
        <f>13200</f>
      </c>
      <c r="B13208" s="5" t="s">
        <v>12479</v>
      </c>
      <c r="C13208" s="5" t="s">
        <v>11</v>
      </c>
      <c r="D13208" s="5" t="s">
        <v>12</v>
      </c>
      <c r="E13208" s="5" t="s">
        <v>871</v>
      </c>
    </row>
    <row r="13209" spans="1:5" x14ac:dyDescent="0.25">
      <c r="A13209" s="5">
        <f>13201</f>
      </c>
      <c r="B13209" s="5" t="s">
        <v>12480</v>
      </c>
      <c r="C13209" s="5" t="s">
        <v>11</v>
      </c>
      <c r="D13209" s="5" t="s">
        <v>12</v>
      </c>
      <c r="E13209" s="5" t="s">
        <v>871</v>
      </c>
    </row>
    <row r="13210" spans="1:5" x14ac:dyDescent="0.25">
      <c r="A13210" s="5">
        <f>13202</f>
      </c>
      <c r="B13210" s="5" t="s">
        <v>12481</v>
      </c>
      <c r="C13210" s="5" t="s">
        <v>11</v>
      </c>
      <c r="D13210" s="5" t="s">
        <v>12</v>
      </c>
      <c r="E13210" s="5" t="s">
        <v>871</v>
      </c>
    </row>
    <row r="13211" spans="1:5" x14ac:dyDescent="0.25">
      <c r="A13211" s="5">
        <f>13203</f>
      </c>
      <c r="B13211" s="5" t="s">
        <v>12482</v>
      </c>
      <c r="C13211" s="5" t="s">
        <v>11</v>
      </c>
      <c r="D13211" s="5" t="s">
        <v>12</v>
      </c>
      <c r="E13211" s="5" t="s">
        <v>871</v>
      </c>
    </row>
    <row r="13212" spans="1:5" x14ac:dyDescent="0.25">
      <c r="A13212" s="5">
        <f>13204</f>
      </c>
      <c r="B13212" s="5" t="s">
        <v>12483</v>
      </c>
      <c r="C13212" s="5" t="s">
        <v>11</v>
      </c>
      <c r="D13212" s="5" t="s">
        <v>12</v>
      </c>
      <c r="E13212" s="5" t="s">
        <v>871</v>
      </c>
    </row>
    <row r="13213" spans="1:5" x14ac:dyDescent="0.25">
      <c r="A13213" s="5">
        <f>13205</f>
      </c>
      <c r="B13213" s="5" t="s">
        <v>12484</v>
      </c>
      <c r="C13213" s="5" t="s">
        <v>11</v>
      </c>
      <c r="D13213" s="5" t="s">
        <v>12</v>
      </c>
      <c r="E13213" s="5" t="s">
        <v>3680</v>
      </c>
    </row>
    <row r="13214" spans="1:5" x14ac:dyDescent="0.25">
      <c r="A13214" s="5">
        <f>13206</f>
      </c>
      <c r="B13214" s="5" t="s">
        <v>12485</v>
      </c>
      <c r="C13214" s="5" t="s">
        <v>11</v>
      </c>
      <c r="D13214" s="5" t="s">
        <v>12</v>
      </c>
      <c r="E13214" s="5" t="s">
        <v>9518</v>
      </c>
    </row>
    <row r="13215" spans="1:5" x14ac:dyDescent="0.25">
      <c r="A13215" s="5">
        <f>13207</f>
      </c>
      <c r="B13215" s="5" t="s">
        <v>12486</v>
      </c>
      <c r="C13215" s="5" t="s">
        <v>11</v>
      </c>
      <c r="D13215" s="5" t="s">
        <v>12</v>
      </c>
      <c r="E13215" s="5" t="s">
        <v>781</v>
      </c>
    </row>
    <row r="13216" spans="1:5" x14ac:dyDescent="0.25">
      <c r="A13216" s="5">
        <f>13208</f>
      </c>
      <c r="B13216" s="5" t="s">
        <v>12487</v>
      </c>
      <c r="C13216" s="5" t="s">
        <v>11</v>
      </c>
      <c r="D13216" s="5" t="s">
        <v>12</v>
      </c>
      <c r="E13216" s="5" t="s">
        <v>10574</v>
      </c>
    </row>
    <row r="13217" spans="1:5" x14ac:dyDescent="0.25">
      <c r="A13217" s="5">
        <f>13209</f>
      </c>
      <c r="B13217" s="5" t="s">
        <v>12488</v>
      </c>
      <c r="C13217" s="5" t="s">
        <v>11</v>
      </c>
      <c r="D13217" s="5" t="s">
        <v>12</v>
      </c>
      <c r="E13217" s="5" t="s">
        <v>2394</v>
      </c>
    </row>
    <row r="13218" spans="1:5" x14ac:dyDescent="0.25">
      <c r="A13218" s="5">
        <f>13210</f>
      </c>
      <c r="B13218" s="5" t="s">
        <v>12489</v>
      </c>
      <c r="C13218" s="5" t="s">
        <v>11</v>
      </c>
      <c r="D13218" s="5" t="s">
        <v>12</v>
      </c>
      <c r="E13218" s="5" t="s">
        <v>3561</v>
      </c>
    </row>
    <row r="13219" spans="1:5" x14ac:dyDescent="0.25">
      <c r="A13219" s="5">
        <f>13211</f>
      </c>
      <c r="B13219" s="5" t="s">
        <v>12490</v>
      </c>
      <c r="C13219" s="5" t="s">
        <v>11</v>
      </c>
      <c r="D13219" s="5" t="s">
        <v>12</v>
      </c>
      <c r="E13219" s="5" t="s">
        <v>2404</v>
      </c>
    </row>
    <row r="13220" spans="1:5" x14ac:dyDescent="0.25">
      <c r="A13220" s="5">
        <f>13212</f>
      </c>
      <c r="B13220" s="5" t="s">
        <v>12491</v>
      </c>
      <c r="C13220" s="5" t="s">
        <v>11</v>
      </c>
      <c r="D13220" s="5" t="s">
        <v>12</v>
      </c>
      <c r="E13220" s="5" t="s">
        <v>720</v>
      </c>
    </row>
    <row r="13221" spans="1:5" x14ac:dyDescent="0.25">
      <c r="A13221" s="5">
        <f>13213</f>
      </c>
      <c r="B13221" s="5" t="s">
        <v>12492</v>
      </c>
      <c r="C13221" s="5" t="s">
        <v>11</v>
      </c>
      <c r="D13221" s="5" t="s">
        <v>12</v>
      </c>
      <c r="E13221" s="5" t="s">
        <v>2304</v>
      </c>
    </row>
    <row r="13222" spans="1:5" x14ac:dyDescent="0.25">
      <c r="A13222" s="5">
        <f>13214</f>
      </c>
      <c r="B13222" s="5" t="s">
        <v>12493</v>
      </c>
      <c r="C13222" s="5" t="s">
        <v>11</v>
      </c>
      <c r="D13222" s="5" t="s">
        <v>12</v>
      </c>
      <c r="E13222" s="5" t="s">
        <v>720</v>
      </c>
    </row>
    <row r="13223" spans="1:5" x14ac:dyDescent="0.25">
      <c r="A13223" s="5">
        <f>13215</f>
      </c>
      <c r="B13223" s="5" t="s">
        <v>12494</v>
      </c>
      <c r="C13223" s="5" t="s">
        <v>11</v>
      </c>
      <c r="D13223" s="5" t="s">
        <v>12</v>
      </c>
      <c r="E13223" s="5" t="s">
        <v>11475</v>
      </c>
    </row>
    <row r="13224" spans="1:5" x14ac:dyDescent="0.25">
      <c r="A13224" s="5">
        <f>13216</f>
      </c>
      <c r="B13224" s="5" t="s">
        <v>12495</v>
      </c>
      <c r="C13224" s="5" t="s">
        <v>11</v>
      </c>
      <c r="D13224" s="5" t="s">
        <v>12</v>
      </c>
      <c r="E13224" s="5" t="s">
        <v>2675</v>
      </c>
    </row>
    <row r="13225" spans="1:5" x14ac:dyDescent="0.25">
      <c r="A13225" s="5">
        <f>13217</f>
      </c>
      <c r="B13225" s="5" t="s">
        <v>12496</v>
      </c>
      <c r="C13225" s="5" t="s">
        <v>11</v>
      </c>
      <c r="D13225" s="5" t="s">
        <v>12</v>
      </c>
      <c r="E13225" s="5" t="s">
        <v>4066</v>
      </c>
    </row>
    <row r="13226" spans="1:5" x14ac:dyDescent="0.25">
      <c r="A13226" s="5">
        <f>13218</f>
      </c>
      <c r="B13226" s="5" t="s">
        <v>12497</v>
      </c>
      <c r="C13226" s="5" t="s">
        <v>11</v>
      </c>
      <c r="D13226" s="5" t="s">
        <v>12</v>
      </c>
      <c r="E13226" s="5" t="s">
        <v>4066</v>
      </c>
    </row>
    <row r="13227" spans="1:5" x14ac:dyDescent="0.25">
      <c r="A13227" s="5">
        <f>13219</f>
      </c>
      <c r="B13227" s="5" t="s">
        <v>12498</v>
      </c>
      <c r="C13227" s="5" t="s">
        <v>11</v>
      </c>
      <c r="D13227" s="5" t="s">
        <v>12</v>
      </c>
      <c r="E13227" s="5" t="s">
        <v>966</v>
      </c>
    </row>
    <row r="13228" spans="1:5" x14ac:dyDescent="0.25">
      <c r="A13228" s="5">
        <f>13220</f>
      </c>
      <c r="B13228" s="5" t="s">
        <v>12499</v>
      </c>
      <c r="C13228" s="5" t="s">
        <v>11</v>
      </c>
      <c r="D13228" s="5" t="s">
        <v>12</v>
      </c>
      <c r="E13228" s="5" t="s">
        <v>2251</v>
      </c>
    </row>
    <row r="13229" spans="1:5" x14ac:dyDescent="0.25">
      <c r="A13229" s="5">
        <f>13221</f>
      </c>
      <c r="B13229" s="5" t="s">
        <v>12500</v>
      </c>
      <c r="C13229" s="5" t="s">
        <v>11</v>
      </c>
      <c r="D13229" s="5" t="s">
        <v>12</v>
      </c>
      <c r="E13229" s="5" t="s">
        <v>875</v>
      </c>
    </row>
    <row r="13230" spans="1:5" x14ac:dyDescent="0.25">
      <c r="A13230" s="5">
        <f>13222</f>
      </c>
      <c r="B13230" s="5" t="s">
        <v>12501</v>
      </c>
      <c r="C13230" s="5" t="s">
        <v>11</v>
      </c>
      <c r="D13230" s="5" t="s">
        <v>12</v>
      </c>
      <c r="E13230" s="5" t="s">
        <v>1045</v>
      </c>
    </row>
    <row r="13231" spans="1:5" x14ac:dyDescent="0.25">
      <c r="A13231" s="5">
        <f>13223</f>
      </c>
      <c r="B13231" s="5" t="s">
        <v>12502</v>
      </c>
      <c r="C13231" s="5" t="s">
        <v>11</v>
      </c>
      <c r="D13231" s="5" t="s">
        <v>12</v>
      </c>
      <c r="E13231" s="5" t="s">
        <v>2600</v>
      </c>
    </row>
    <row r="13232" spans="1:5" x14ac:dyDescent="0.25">
      <c r="A13232" s="5">
        <f>13224</f>
      </c>
      <c r="B13232" s="5" t="s">
        <v>12503</v>
      </c>
      <c r="C13232" s="5" t="s">
        <v>11</v>
      </c>
      <c r="D13232" s="5" t="s">
        <v>12</v>
      </c>
      <c r="E13232" s="5" t="s">
        <v>3520</v>
      </c>
    </row>
    <row r="13233" spans="1:5" x14ac:dyDescent="0.25">
      <c r="A13233" s="5">
        <f>13225</f>
      </c>
      <c r="B13233" s="5" t="s">
        <v>12504</v>
      </c>
      <c r="C13233" s="5" t="s">
        <v>11</v>
      </c>
      <c r="D13233" s="5" t="s">
        <v>12</v>
      </c>
      <c r="E13233" s="5" t="s">
        <v>2840</v>
      </c>
    </row>
    <row r="13234" spans="1:5" x14ac:dyDescent="0.25">
      <c r="A13234" s="5">
        <f>13226</f>
      </c>
      <c r="B13234" s="5" t="s">
        <v>12505</v>
      </c>
      <c r="C13234" s="5" t="s">
        <v>11</v>
      </c>
      <c r="D13234" s="5" t="s">
        <v>12</v>
      </c>
      <c r="E13234" s="5" t="s">
        <v>724</v>
      </c>
    </row>
    <row r="13235" spans="1:5" x14ac:dyDescent="0.25">
      <c r="A13235" s="5">
        <f>13227</f>
      </c>
      <c r="B13235" s="5" t="s">
        <v>12506</v>
      </c>
      <c r="C13235" s="5" t="s">
        <v>11</v>
      </c>
      <c r="D13235" s="5" t="s">
        <v>12</v>
      </c>
      <c r="E13235" s="5" t="s">
        <v>724</v>
      </c>
    </row>
    <row r="13236" spans="1:5" x14ac:dyDescent="0.25">
      <c r="A13236" s="5">
        <f>13228</f>
      </c>
      <c r="B13236" s="5" t="s">
        <v>12507</v>
      </c>
      <c r="C13236" s="5" t="s">
        <v>11</v>
      </c>
      <c r="D13236" s="5" t="s">
        <v>12</v>
      </c>
      <c r="E13236" s="5" t="s">
        <v>724</v>
      </c>
    </row>
    <row r="13237" spans="1:5" x14ac:dyDescent="0.25">
      <c r="A13237" s="5">
        <f>13229</f>
      </c>
      <c r="B13237" s="5" t="s">
        <v>12508</v>
      </c>
      <c r="C13237" s="5" t="s">
        <v>11</v>
      </c>
      <c r="D13237" s="5" t="s">
        <v>12</v>
      </c>
      <c r="E13237" s="5" t="s">
        <v>724</v>
      </c>
    </row>
    <row r="13238" spans="1:5" x14ac:dyDescent="0.25">
      <c r="A13238" s="5">
        <f>13230</f>
      </c>
      <c r="B13238" s="5" t="s">
        <v>12509</v>
      </c>
      <c r="C13238" s="5" t="s">
        <v>11</v>
      </c>
      <c r="D13238" s="5" t="s">
        <v>12</v>
      </c>
      <c r="E13238" s="5" t="s">
        <v>724</v>
      </c>
    </row>
    <row r="13239" spans="1:5" x14ac:dyDescent="0.25">
      <c r="A13239" s="5">
        <f>13231</f>
      </c>
      <c r="B13239" s="5" t="s">
        <v>12510</v>
      </c>
      <c r="C13239" s="5" t="s">
        <v>11</v>
      </c>
      <c r="D13239" s="5" t="s">
        <v>12</v>
      </c>
      <c r="E13239" s="5" t="s">
        <v>724</v>
      </c>
    </row>
    <row r="13240" spans="1:5" x14ac:dyDescent="0.25">
      <c r="A13240" s="5">
        <f>13232</f>
      </c>
      <c r="B13240" s="5" t="s">
        <v>12511</v>
      </c>
      <c r="C13240" s="5" t="s">
        <v>11</v>
      </c>
      <c r="D13240" s="5" t="s">
        <v>12</v>
      </c>
      <c r="E13240" s="5" t="s">
        <v>2598</v>
      </c>
    </row>
    <row r="13241" spans="1:5" x14ac:dyDescent="0.25">
      <c r="A13241" s="5">
        <f>13233</f>
      </c>
      <c r="B13241" s="5" t="s">
        <v>12512</v>
      </c>
      <c r="C13241" s="5" t="s">
        <v>11</v>
      </c>
      <c r="D13241" s="5" t="s">
        <v>12</v>
      </c>
      <c r="E13241" s="5" t="s">
        <v>2316</v>
      </c>
    </row>
    <row r="13242" spans="1:5" x14ac:dyDescent="0.25">
      <c r="A13242" s="5">
        <f>13234</f>
      </c>
      <c r="B13242" s="5" t="s">
        <v>12513</v>
      </c>
      <c r="C13242" s="5" t="s">
        <v>11</v>
      </c>
      <c r="D13242" s="5" t="s">
        <v>12</v>
      </c>
      <c r="E13242" s="5" t="s">
        <v>3430</v>
      </c>
    </row>
    <row r="13243" spans="1:5" x14ac:dyDescent="0.25">
      <c r="A13243" s="5">
        <f>13235</f>
      </c>
      <c r="B13243" s="5" t="s">
        <v>12514</v>
      </c>
      <c r="C13243" s="5" t="s">
        <v>11</v>
      </c>
      <c r="D13243" s="5" t="s">
        <v>12</v>
      </c>
      <c r="E13243" s="5" t="s">
        <v>4151</v>
      </c>
    </row>
    <row r="13244" spans="1:5" x14ac:dyDescent="0.25">
      <c r="A13244" s="5">
        <f>13236</f>
      </c>
      <c r="B13244" s="5" t="s">
        <v>12515</v>
      </c>
      <c r="C13244" s="5" t="s">
        <v>11</v>
      </c>
      <c r="D13244" s="5" t="s">
        <v>12</v>
      </c>
      <c r="E13244" s="5" t="s">
        <v>4151</v>
      </c>
    </row>
    <row r="13245" spans="1:5" x14ac:dyDescent="0.25">
      <c r="A13245" s="5">
        <f>13237</f>
      </c>
      <c r="B13245" s="5" t="s">
        <v>12516</v>
      </c>
      <c r="C13245" s="5" t="s">
        <v>11</v>
      </c>
      <c r="D13245" s="5" t="s">
        <v>12</v>
      </c>
      <c r="E13245" s="5" t="s">
        <v>941</v>
      </c>
    </row>
    <row r="13246" spans="1:5" x14ac:dyDescent="0.25">
      <c r="A13246" s="5">
        <f>13238</f>
      </c>
      <c r="B13246" s="5" t="s">
        <v>12517</v>
      </c>
      <c r="C13246" s="5" t="s">
        <v>11</v>
      </c>
      <c r="D13246" s="5" t="s">
        <v>12</v>
      </c>
      <c r="E13246" s="5" t="s">
        <v>3545</v>
      </c>
    </row>
    <row r="13247" spans="1:5" x14ac:dyDescent="0.25">
      <c r="A13247" s="5">
        <f>13239</f>
      </c>
      <c r="B13247" s="5" t="s">
        <v>12518</v>
      </c>
      <c r="C13247" s="5" t="s">
        <v>11</v>
      </c>
      <c r="D13247" s="5" t="s">
        <v>12</v>
      </c>
      <c r="E13247" s="5" t="s">
        <v>4164</v>
      </c>
    </row>
    <row r="13248" spans="1:5" x14ac:dyDescent="0.25">
      <c r="A13248" s="5">
        <f>13240</f>
      </c>
      <c r="B13248" s="5" t="s">
        <v>12519</v>
      </c>
      <c r="C13248" s="5" t="s">
        <v>11</v>
      </c>
      <c r="D13248" s="5" t="s">
        <v>12</v>
      </c>
      <c r="E13248" s="5" t="s">
        <v>2619</v>
      </c>
    </row>
    <row r="13249" spans="1:5" x14ac:dyDescent="0.25">
      <c r="A13249" s="5">
        <f>13241</f>
      </c>
      <c r="B13249" s="5" t="s">
        <v>12520</v>
      </c>
      <c r="C13249" s="5" t="s">
        <v>11</v>
      </c>
      <c r="D13249" s="5" t="s">
        <v>12</v>
      </c>
      <c r="E13249" s="5" t="s">
        <v>2402</v>
      </c>
    </row>
    <row r="13250" spans="1:5" x14ac:dyDescent="0.25">
      <c r="A13250" s="5">
        <f>13242</f>
      </c>
      <c r="B13250" s="5" t="s">
        <v>12521</v>
      </c>
      <c r="C13250" s="5" t="s">
        <v>11</v>
      </c>
      <c r="D13250" s="5" t="s">
        <v>12</v>
      </c>
      <c r="E13250" s="5" t="s">
        <v>882</v>
      </c>
    </row>
    <row r="13251" spans="1:5" x14ac:dyDescent="0.25">
      <c r="A13251" s="5">
        <f>13243</f>
      </c>
      <c r="B13251" s="5" t="s">
        <v>12522</v>
      </c>
      <c r="C13251" s="5" t="s">
        <v>11</v>
      </c>
      <c r="D13251" s="5" t="s">
        <v>12</v>
      </c>
      <c r="E13251" s="5" t="s">
        <v>2389</v>
      </c>
    </row>
    <row r="13252" spans="1:5" x14ac:dyDescent="0.25">
      <c r="A13252" s="5">
        <f>13244</f>
      </c>
      <c r="B13252" s="5" t="s">
        <v>12523</v>
      </c>
      <c r="C13252" s="5" t="s">
        <v>11</v>
      </c>
      <c r="D13252" s="5" t="s">
        <v>12</v>
      </c>
      <c r="E13252" s="5" t="s">
        <v>3386</v>
      </c>
    </row>
    <row r="13253" spans="1:5" x14ac:dyDescent="0.25">
      <c r="A13253" s="5">
        <f>13245</f>
      </c>
      <c r="B13253" s="5" t="s">
        <v>12524</v>
      </c>
      <c r="C13253" s="5" t="s">
        <v>11</v>
      </c>
      <c r="D13253" s="5" t="s">
        <v>12</v>
      </c>
      <c r="E13253" s="5" t="s">
        <v>2582</v>
      </c>
    </row>
    <row r="13254" spans="1:5" x14ac:dyDescent="0.25">
      <c r="A13254" s="5">
        <f>13246</f>
      </c>
      <c r="B13254" s="5" t="s">
        <v>12525</v>
      </c>
      <c r="C13254" s="5" t="s">
        <v>11</v>
      </c>
      <c r="D13254" s="5" t="s">
        <v>12</v>
      </c>
      <c r="E13254" s="5" t="s">
        <v>2826</v>
      </c>
    </row>
    <row r="13255" spans="1:5" x14ac:dyDescent="0.25">
      <c r="A13255" s="5">
        <f>13247</f>
      </c>
      <c r="B13255" s="5" t="s">
        <v>12526</v>
      </c>
      <c r="C13255" s="5" t="s">
        <v>11</v>
      </c>
      <c r="D13255" s="5" t="s">
        <v>12</v>
      </c>
      <c r="E13255" s="5" t="s">
        <v>919</v>
      </c>
    </row>
    <row r="13256" spans="1:5" x14ac:dyDescent="0.25">
      <c r="A13256" s="5">
        <f>13248</f>
      </c>
      <c r="B13256" s="5" t="s">
        <v>12527</v>
      </c>
      <c r="C13256" s="5" t="s">
        <v>11</v>
      </c>
      <c r="D13256" s="5" t="s">
        <v>12</v>
      </c>
      <c r="E13256" s="5" t="s">
        <v>10739</v>
      </c>
    </row>
    <row r="13257" spans="1:5" x14ac:dyDescent="0.25">
      <c r="A13257" s="5">
        <f>13249</f>
      </c>
      <c r="B13257" s="5" t="s">
        <v>12528</v>
      </c>
      <c r="C13257" s="5" t="s">
        <v>11</v>
      </c>
      <c r="D13257" s="5" t="s">
        <v>12</v>
      </c>
      <c r="E13257" s="5" t="s">
        <v>3530</v>
      </c>
    </row>
    <row r="13258" spans="1:5" x14ac:dyDescent="0.25">
      <c r="A13258" s="5">
        <f>13250</f>
      </c>
      <c r="B13258" s="5" t="s">
        <v>12529</v>
      </c>
      <c r="C13258" s="5" t="s">
        <v>11</v>
      </c>
      <c r="D13258" s="5" t="s">
        <v>12</v>
      </c>
      <c r="E13258" s="5" t="s">
        <v>941</v>
      </c>
    </row>
    <row r="13259" spans="1:5" x14ac:dyDescent="0.25">
      <c r="A13259" s="5">
        <f>13251</f>
      </c>
      <c r="B13259" s="5" t="s">
        <v>12530</v>
      </c>
      <c r="C13259" s="5" t="s">
        <v>11</v>
      </c>
      <c r="D13259" s="5" t="s">
        <v>12</v>
      </c>
      <c r="E13259" s="5" t="s">
        <v>941</v>
      </c>
    </row>
    <row r="13260" spans="1:5" x14ac:dyDescent="0.25">
      <c r="A13260" s="5">
        <f>13252</f>
      </c>
      <c r="B13260" s="5" t="s">
        <v>12531</v>
      </c>
      <c r="C13260" s="5" t="s">
        <v>11</v>
      </c>
      <c r="D13260" s="5" t="s">
        <v>12</v>
      </c>
      <c r="E13260" s="5" t="s">
        <v>2386</v>
      </c>
    </row>
    <row r="13261" spans="1:5" x14ac:dyDescent="0.25">
      <c r="A13261" s="5">
        <f>13253</f>
      </c>
      <c r="B13261" s="5" t="s">
        <v>12532</v>
      </c>
      <c r="C13261" s="5" t="s">
        <v>11</v>
      </c>
      <c r="D13261" s="5" t="s">
        <v>12</v>
      </c>
      <c r="E13261" s="5" t="s">
        <v>7767</v>
      </c>
    </row>
    <row r="13262" spans="1:5" x14ac:dyDescent="0.25">
      <c r="A13262" s="5">
        <f>13254</f>
      </c>
      <c r="B13262" s="5" t="s">
        <v>12533</v>
      </c>
      <c r="C13262" s="5" t="s">
        <v>11</v>
      </c>
      <c r="D13262" s="5" t="s">
        <v>12</v>
      </c>
      <c r="E13262" s="5" t="s">
        <v>2343</v>
      </c>
    </row>
    <row r="13263" spans="1:5" x14ac:dyDescent="0.25">
      <c r="A13263" s="5">
        <f>13255</f>
      </c>
      <c r="B13263" s="5" t="s">
        <v>12534</v>
      </c>
      <c r="C13263" s="5" t="s">
        <v>11</v>
      </c>
      <c r="D13263" s="5" t="s">
        <v>12</v>
      </c>
      <c r="E13263" s="5" t="s">
        <v>9518</v>
      </c>
    </row>
    <row r="13264" spans="1:5" x14ac:dyDescent="0.25">
      <c r="A13264" s="5">
        <f>13256</f>
      </c>
      <c r="B13264" s="5" t="s">
        <v>12535</v>
      </c>
      <c r="C13264" s="5" t="s">
        <v>11</v>
      </c>
      <c r="D13264" s="5" t="s">
        <v>12</v>
      </c>
      <c r="E13264" s="5" t="s">
        <v>2626</v>
      </c>
    </row>
    <row r="13265" spans="1:5" x14ac:dyDescent="0.25">
      <c r="A13265" s="5">
        <f>13257</f>
      </c>
      <c r="B13265" s="5" t="s">
        <v>12536</v>
      </c>
      <c r="C13265" s="5" t="s">
        <v>11</v>
      </c>
      <c r="D13265" s="5" t="s">
        <v>12</v>
      </c>
      <c r="E13265" s="5" t="s">
        <v>11120</v>
      </c>
    </row>
    <row r="13266" spans="1:5" x14ac:dyDescent="0.25">
      <c r="A13266" s="5">
        <f>13258</f>
      </c>
      <c r="B13266" s="5" t="s">
        <v>12537</v>
      </c>
      <c r="C13266" s="5" t="s">
        <v>11</v>
      </c>
      <c r="D13266" s="5" t="s">
        <v>12</v>
      </c>
      <c r="E13266" s="5" t="s">
        <v>11120</v>
      </c>
    </row>
    <row r="13267" spans="1:5" x14ac:dyDescent="0.25">
      <c r="A13267" s="5">
        <f>13259</f>
      </c>
      <c r="B13267" s="5" t="s">
        <v>12538</v>
      </c>
      <c r="C13267" s="5" t="s">
        <v>11</v>
      </c>
      <c r="D13267" s="5" t="s">
        <v>12</v>
      </c>
      <c r="E13267" s="5" t="s">
        <v>2251</v>
      </c>
    </row>
    <row r="13268" spans="1:5" x14ac:dyDescent="0.25">
      <c r="A13268" s="5">
        <f>13260</f>
      </c>
      <c r="B13268" s="5" t="s">
        <v>12539</v>
      </c>
      <c r="C13268" s="5" t="s">
        <v>11</v>
      </c>
      <c r="D13268" s="5" t="s">
        <v>12</v>
      </c>
      <c r="E13268" s="5" t="s">
        <v>2881</v>
      </c>
    </row>
    <row r="13269" spans="1:5" x14ac:dyDescent="0.25">
      <c r="A13269" s="5">
        <f>13261</f>
      </c>
      <c r="B13269" s="5" t="s">
        <v>12540</v>
      </c>
      <c r="C13269" s="5" t="s">
        <v>11</v>
      </c>
      <c r="D13269" s="5" t="s">
        <v>12</v>
      </c>
      <c r="E13269" s="5" t="s">
        <v>10541</v>
      </c>
    </row>
    <row r="13270" spans="1:5" x14ac:dyDescent="0.25">
      <c r="A13270" s="5">
        <f>13262</f>
      </c>
      <c r="B13270" s="5" t="s">
        <v>12541</v>
      </c>
      <c r="C13270" s="5" t="s">
        <v>11</v>
      </c>
      <c r="D13270" s="5" t="s">
        <v>12</v>
      </c>
      <c r="E13270" s="5" t="s">
        <v>3586</v>
      </c>
    </row>
    <row r="13271" spans="1:5" x14ac:dyDescent="0.25">
      <c r="A13271" s="5">
        <f>13263</f>
      </c>
      <c r="B13271" s="5" t="s">
        <v>12542</v>
      </c>
      <c r="C13271" s="5" t="s">
        <v>11</v>
      </c>
      <c r="D13271" s="5" t="s">
        <v>12</v>
      </c>
      <c r="E13271" s="5" t="s">
        <v>1045</v>
      </c>
    </row>
    <row r="13272" spans="1:5" x14ac:dyDescent="0.25">
      <c r="A13272" s="5">
        <f>13264</f>
      </c>
      <c r="B13272" s="5" t="s">
        <v>12543</v>
      </c>
      <c r="C13272" s="5" t="s">
        <v>11</v>
      </c>
      <c r="D13272" s="5" t="s">
        <v>12</v>
      </c>
      <c r="E13272" s="5" t="s">
        <v>2645</v>
      </c>
    </row>
    <row r="13273" spans="1:5" x14ac:dyDescent="0.25">
      <c r="A13273" s="5">
        <f>13265</f>
      </c>
      <c r="B13273" s="5" t="s">
        <v>12544</v>
      </c>
      <c r="C13273" s="5" t="s">
        <v>11</v>
      </c>
      <c r="D13273" s="5" t="s">
        <v>12</v>
      </c>
      <c r="E13273" s="5" t="s">
        <v>10680</v>
      </c>
    </row>
    <row r="13274" spans="1:5" x14ac:dyDescent="0.25">
      <c r="A13274" s="5">
        <f>13266</f>
      </c>
      <c r="B13274" s="5" t="s">
        <v>12545</v>
      </c>
      <c r="C13274" s="5" t="s">
        <v>11</v>
      </c>
      <c r="D13274" s="5" t="s">
        <v>12</v>
      </c>
      <c r="E13274" s="5" t="s">
        <v>2671</v>
      </c>
    </row>
    <row r="13275" spans="1:5" x14ac:dyDescent="0.25">
      <c r="A13275" s="5">
        <f>13267</f>
      </c>
      <c r="B13275" s="5" t="s">
        <v>12546</v>
      </c>
      <c r="C13275" s="5" t="s">
        <v>11</v>
      </c>
      <c r="D13275" s="5" t="s">
        <v>12</v>
      </c>
      <c r="E13275" s="5" t="s">
        <v>10580</v>
      </c>
    </row>
    <row r="13276" spans="1:5" x14ac:dyDescent="0.25">
      <c r="A13276" s="5">
        <f>13268</f>
      </c>
      <c r="B13276" s="5" t="s">
        <v>12547</v>
      </c>
      <c r="C13276" s="5" t="s">
        <v>11</v>
      </c>
      <c r="D13276" s="5" t="s">
        <v>12</v>
      </c>
      <c r="E13276" s="5" t="s">
        <v>2829</v>
      </c>
    </row>
    <row r="13277" spans="1:5" x14ac:dyDescent="0.25">
      <c r="A13277" s="5">
        <f>13269</f>
      </c>
      <c r="B13277" s="5" t="s">
        <v>12548</v>
      </c>
      <c r="C13277" s="5" t="s">
        <v>11</v>
      </c>
      <c r="D13277" s="5" t="s">
        <v>12</v>
      </c>
      <c r="E13277" s="5" t="s">
        <v>2829</v>
      </c>
    </row>
    <row r="13278" spans="1:5" x14ac:dyDescent="0.25">
      <c r="A13278" s="5">
        <f>13270</f>
      </c>
      <c r="B13278" s="5" t="s">
        <v>12549</v>
      </c>
      <c r="C13278" s="5" t="s">
        <v>11</v>
      </c>
      <c r="D13278" s="5" t="s">
        <v>12</v>
      </c>
      <c r="E13278" s="5" t="s">
        <v>2829</v>
      </c>
    </row>
    <row r="13279" spans="1:5" x14ac:dyDescent="0.25">
      <c r="A13279" s="5">
        <f>13271</f>
      </c>
      <c r="B13279" s="5" t="s">
        <v>12550</v>
      </c>
      <c r="C13279" s="5" t="s">
        <v>11</v>
      </c>
      <c r="D13279" s="5" t="s">
        <v>12</v>
      </c>
      <c r="E13279" s="5" t="s">
        <v>2829</v>
      </c>
    </row>
    <row r="13280" spans="1:5" x14ac:dyDescent="0.25">
      <c r="A13280" s="5">
        <f>13272</f>
      </c>
      <c r="B13280" s="5" t="s">
        <v>12551</v>
      </c>
      <c r="C13280" s="5" t="s">
        <v>11</v>
      </c>
      <c r="D13280" s="5" t="s">
        <v>12</v>
      </c>
      <c r="E13280" s="5" t="s">
        <v>3754</v>
      </c>
    </row>
    <row r="13281" spans="1:5" x14ac:dyDescent="0.25">
      <c r="A13281" s="5">
        <f>13273</f>
      </c>
      <c r="B13281" s="5" t="s">
        <v>12552</v>
      </c>
      <c r="C13281" s="5" t="s">
        <v>11</v>
      </c>
      <c r="D13281" s="5" t="s">
        <v>12</v>
      </c>
      <c r="E13281" s="5" t="s">
        <v>3754</v>
      </c>
    </row>
    <row r="13282" spans="1:5" x14ac:dyDescent="0.25">
      <c r="A13282" s="5">
        <f>13274</f>
      </c>
      <c r="B13282" s="5" t="s">
        <v>12553</v>
      </c>
      <c r="C13282" s="5" t="s">
        <v>11</v>
      </c>
      <c r="D13282" s="5" t="s">
        <v>12</v>
      </c>
      <c r="E13282" s="5" t="s">
        <v>1022</v>
      </c>
    </row>
    <row r="13283" spans="1:5" x14ac:dyDescent="0.25">
      <c r="A13283" s="5">
        <f>13275</f>
      </c>
      <c r="B13283" s="5" t="s">
        <v>12554</v>
      </c>
      <c r="C13283" s="5" t="s">
        <v>11</v>
      </c>
      <c r="D13283" s="5" t="s">
        <v>12</v>
      </c>
      <c r="E13283" s="5" t="s">
        <v>10878</v>
      </c>
    </row>
    <row r="13284" spans="1:5" x14ac:dyDescent="0.25">
      <c r="A13284" s="5">
        <f>13276</f>
      </c>
      <c r="B13284" s="5" t="s">
        <v>12555</v>
      </c>
      <c r="C13284" s="5" t="s">
        <v>11</v>
      </c>
      <c r="D13284" s="5" t="s">
        <v>12</v>
      </c>
      <c r="E13284" s="5" t="s">
        <v>1077</v>
      </c>
    </row>
    <row r="13285" spans="1:5" x14ac:dyDescent="0.25">
      <c r="A13285" s="5">
        <f>13277</f>
      </c>
      <c r="B13285" s="5" t="s">
        <v>12556</v>
      </c>
      <c r="C13285" s="5" t="s">
        <v>11</v>
      </c>
      <c r="D13285" s="5" t="s">
        <v>12</v>
      </c>
      <c r="E13285" s="5" t="s">
        <v>734</v>
      </c>
    </row>
    <row r="13286" spans="1:5" x14ac:dyDescent="0.25">
      <c r="A13286" s="5">
        <f>13278</f>
      </c>
      <c r="B13286" s="5" t="s">
        <v>12557</v>
      </c>
      <c r="C13286" s="5" t="s">
        <v>11</v>
      </c>
      <c r="D13286" s="5" t="s">
        <v>12</v>
      </c>
      <c r="E13286" s="5" t="s">
        <v>2632</v>
      </c>
    </row>
    <row r="13287" spans="1:5" x14ac:dyDescent="0.25">
      <c r="A13287" s="5">
        <f>13279</f>
      </c>
      <c r="B13287" s="5" t="s">
        <v>12558</v>
      </c>
      <c r="C13287" s="5" t="s">
        <v>11</v>
      </c>
      <c r="D13287" s="5" t="s">
        <v>12</v>
      </c>
      <c r="E13287" s="5" t="s">
        <v>3692</v>
      </c>
    </row>
    <row r="13288" spans="1:5" x14ac:dyDescent="0.25">
      <c r="A13288" s="5">
        <f>13280</f>
      </c>
      <c r="B13288" s="5" t="s">
        <v>12559</v>
      </c>
      <c r="C13288" s="5" t="s">
        <v>11</v>
      </c>
      <c r="D13288" s="5" t="s">
        <v>12</v>
      </c>
      <c r="E13288" s="5" t="s">
        <v>762</v>
      </c>
    </row>
    <row r="13289" spans="1:5" x14ac:dyDescent="0.25">
      <c r="A13289" s="5">
        <f>13281</f>
      </c>
      <c r="B13289" s="5" t="s">
        <v>12560</v>
      </c>
      <c r="C13289" s="5" t="s">
        <v>11</v>
      </c>
      <c r="D13289" s="5" t="s">
        <v>12</v>
      </c>
      <c r="E13289" s="5" t="s">
        <v>966</v>
      </c>
    </row>
    <row r="13290" spans="1:5" x14ac:dyDescent="0.25">
      <c r="A13290" s="5">
        <f>13282</f>
      </c>
      <c r="B13290" s="5" t="s">
        <v>12561</v>
      </c>
      <c r="C13290" s="5" t="s">
        <v>11</v>
      </c>
      <c r="D13290" s="5" t="s">
        <v>12</v>
      </c>
      <c r="E13290" s="5" t="s">
        <v>3692</v>
      </c>
    </row>
    <row r="13291" spans="1:5" x14ac:dyDescent="0.25">
      <c r="A13291" s="5">
        <f>13283</f>
      </c>
      <c r="B13291" s="5" t="s">
        <v>12562</v>
      </c>
      <c r="C13291" s="5" t="s">
        <v>11</v>
      </c>
      <c r="D13291" s="5" t="s">
        <v>12</v>
      </c>
      <c r="E13291" s="5" t="s">
        <v>3692</v>
      </c>
    </row>
    <row r="13292" spans="1:5" x14ac:dyDescent="0.25">
      <c r="A13292" s="5">
        <f>13284</f>
      </c>
      <c r="B13292" s="5" t="s">
        <v>12563</v>
      </c>
      <c r="C13292" s="5" t="s">
        <v>11</v>
      </c>
      <c r="D13292" s="5" t="s">
        <v>12</v>
      </c>
      <c r="E13292" s="5" t="s">
        <v>828</v>
      </c>
    </row>
    <row r="13293" spans="1:5" x14ac:dyDescent="0.25">
      <c r="A13293" s="5">
        <f>13285</f>
      </c>
      <c r="B13293" s="5" t="s">
        <v>12564</v>
      </c>
      <c r="C13293" s="5" t="s">
        <v>11</v>
      </c>
      <c r="D13293" s="5" t="s">
        <v>12</v>
      </c>
      <c r="E13293" s="5" t="s">
        <v>828</v>
      </c>
    </row>
    <row r="13294" spans="1:5" x14ac:dyDescent="0.25">
      <c r="A13294" s="5">
        <f>13286</f>
      </c>
      <c r="B13294" s="5" t="s">
        <v>12565</v>
      </c>
      <c r="C13294" s="5" t="s">
        <v>11</v>
      </c>
      <c r="D13294" s="5" t="s">
        <v>12</v>
      </c>
      <c r="E13294" s="5" t="s">
        <v>736</v>
      </c>
    </row>
    <row r="13295" spans="1:5" x14ac:dyDescent="0.25">
      <c r="A13295" s="5">
        <f>13287</f>
      </c>
      <c r="B13295" s="5" t="s">
        <v>12566</v>
      </c>
      <c r="C13295" s="5" t="s">
        <v>11</v>
      </c>
      <c r="D13295" s="5" t="s">
        <v>12</v>
      </c>
      <c r="E13295" s="5" t="s">
        <v>2634</v>
      </c>
    </row>
    <row r="13296" spans="1:5" x14ac:dyDescent="0.25">
      <c r="A13296" s="5">
        <f>13288</f>
      </c>
      <c r="B13296" s="5" t="s">
        <v>12567</v>
      </c>
      <c r="C13296" s="5" t="s">
        <v>11</v>
      </c>
      <c r="D13296" s="5" t="s">
        <v>12</v>
      </c>
      <c r="E13296" s="5" t="s">
        <v>919</v>
      </c>
    </row>
    <row r="13297" spans="1:5" x14ac:dyDescent="0.25">
      <c r="A13297" s="5">
        <f>13289</f>
      </c>
      <c r="B13297" s="5" t="s">
        <v>12568</v>
      </c>
      <c r="C13297" s="5" t="s">
        <v>11</v>
      </c>
      <c r="D13297" s="5" t="s">
        <v>12</v>
      </c>
      <c r="E13297" s="5" t="s">
        <v>1074</v>
      </c>
    </row>
    <row r="13298" spans="1:5" x14ac:dyDescent="0.25">
      <c r="A13298" s="5">
        <f>13290</f>
      </c>
      <c r="B13298" s="5" t="s">
        <v>12569</v>
      </c>
      <c r="C13298" s="5" t="s">
        <v>11</v>
      </c>
      <c r="D13298" s="5" t="s">
        <v>12</v>
      </c>
      <c r="E13298" s="5" t="s">
        <v>3524</v>
      </c>
    </row>
    <row r="13299" spans="1:5" x14ac:dyDescent="0.25">
      <c r="A13299" s="5">
        <f>13291</f>
      </c>
      <c r="B13299" s="5" t="s">
        <v>12570</v>
      </c>
      <c r="C13299" s="5" t="s">
        <v>11</v>
      </c>
      <c r="D13299" s="5" t="s">
        <v>12</v>
      </c>
      <c r="E13299" s="5" t="s">
        <v>2671</v>
      </c>
    </row>
    <row r="13300" spans="1:5" x14ac:dyDescent="0.25">
      <c r="A13300" s="5">
        <f>13292</f>
      </c>
      <c r="B13300" s="5" t="s">
        <v>12571</v>
      </c>
      <c r="C13300" s="5" t="s">
        <v>11</v>
      </c>
      <c r="D13300" s="5" t="s">
        <v>12</v>
      </c>
      <c r="E13300" s="5" t="s">
        <v>2394</v>
      </c>
    </row>
    <row r="13301" spans="1:5" x14ac:dyDescent="0.25">
      <c r="A13301" s="5">
        <f>13293</f>
      </c>
      <c r="B13301" s="5" t="s">
        <v>12572</v>
      </c>
      <c r="C13301" s="5" t="s">
        <v>11</v>
      </c>
      <c r="D13301" s="5" t="s">
        <v>12</v>
      </c>
      <c r="E13301" s="5" t="s">
        <v>2394</v>
      </c>
    </row>
    <row r="13302" spans="1:5" x14ac:dyDescent="0.25">
      <c r="A13302" s="5">
        <f>13294</f>
      </c>
      <c r="B13302" s="5" t="s">
        <v>12573</v>
      </c>
      <c r="C13302" s="5" t="s">
        <v>11</v>
      </c>
      <c r="D13302" s="5" t="s">
        <v>12</v>
      </c>
      <c r="E13302" s="5" t="s">
        <v>2394</v>
      </c>
    </row>
    <row r="13303" spans="1:5" x14ac:dyDescent="0.25">
      <c r="A13303" s="5">
        <f>13295</f>
      </c>
      <c r="B13303" s="5" t="s">
        <v>12574</v>
      </c>
      <c r="C13303" s="5" t="s">
        <v>11</v>
      </c>
      <c r="D13303" s="5" t="s">
        <v>12</v>
      </c>
      <c r="E13303" s="5" t="s">
        <v>2394</v>
      </c>
    </row>
    <row r="13304" spans="1:5" x14ac:dyDescent="0.25">
      <c r="A13304" s="5">
        <f>13296</f>
      </c>
      <c r="B13304" s="5" t="s">
        <v>12575</v>
      </c>
      <c r="C13304" s="5" t="s">
        <v>11</v>
      </c>
      <c r="D13304" s="5" t="s">
        <v>12</v>
      </c>
      <c r="E13304" s="5" t="s">
        <v>2394</v>
      </c>
    </row>
    <row r="13305" spans="1:5" x14ac:dyDescent="0.25">
      <c r="A13305" s="5">
        <f>13297</f>
      </c>
      <c r="B13305" s="5" t="s">
        <v>12576</v>
      </c>
      <c r="C13305" s="5" t="s">
        <v>11</v>
      </c>
      <c r="D13305" s="5" t="s">
        <v>12</v>
      </c>
      <c r="E13305" s="5" t="s">
        <v>2394</v>
      </c>
    </row>
    <row r="13306" spans="1:5" x14ac:dyDescent="0.25">
      <c r="A13306" s="5">
        <f>13298</f>
      </c>
      <c r="B13306" s="5" t="s">
        <v>12577</v>
      </c>
      <c r="C13306" s="5" t="s">
        <v>11</v>
      </c>
      <c r="D13306" s="5" t="s">
        <v>12</v>
      </c>
      <c r="E13306" s="5" t="s">
        <v>2394</v>
      </c>
    </row>
    <row r="13307" spans="1:5" x14ac:dyDescent="0.25">
      <c r="A13307" s="5">
        <f>13299</f>
      </c>
      <c r="B13307" s="5" t="s">
        <v>12578</v>
      </c>
      <c r="C13307" s="5" t="s">
        <v>11</v>
      </c>
      <c r="D13307" s="5" t="s">
        <v>12</v>
      </c>
      <c r="E13307" s="5" t="s">
        <v>2394</v>
      </c>
    </row>
    <row r="13308" spans="1:5" x14ac:dyDescent="0.25">
      <c r="A13308" s="5">
        <f>13300</f>
      </c>
      <c r="B13308" s="5" t="s">
        <v>12579</v>
      </c>
      <c r="C13308" s="5" t="s">
        <v>11</v>
      </c>
      <c r="D13308" s="5" t="s">
        <v>12</v>
      </c>
      <c r="E13308" s="5" t="s">
        <v>2394</v>
      </c>
    </row>
    <row r="13309" spans="1:5" x14ac:dyDescent="0.25">
      <c r="A13309" s="5">
        <f>13301</f>
      </c>
      <c r="B13309" s="5" t="s">
        <v>12580</v>
      </c>
      <c r="C13309" s="5" t="s">
        <v>11</v>
      </c>
      <c r="D13309" s="5" t="s">
        <v>12</v>
      </c>
      <c r="E13309" s="5" t="s">
        <v>843</v>
      </c>
    </row>
    <row r="13310" spans="1:5" x14ac:dyDescent="0.25">
      <c r="A13310" s="5">
        <f>13302</f>
      </c>
      <c r="B13310" s="5" t="s">
        <v>12581</v>
      </c>
      <c r="C13310" s="5" t="s">
        <v>11</v>
      </c>
      <c r="D13310" s="5" t="s">
        <v>12</v>
      </c>
      <c r="E13310" s="5" t="s">
        <v>843</v>
      </c>
    </row>
    <row r="13311" spans="1:5" x14ac:dyDescent="0.25">
      <c r="A13311" s="5">
        <f>13303</f>
      </c>
      <c r="B13311" s="5" t="s">
        <v>12582</v>
      </c>
      <c r="C13311" s="5" t="s">
        <v>11</v>
      </c>
      <c r="D13311" s="5" t="s">
        <v>12</v>
      </c>
      <c r="E13311" s="5" t="s">
        <v>843</v>
      </c>
    </row>
    <row r="13312" spans="1:5" x14ac:dyDescent="0.25">
      <c r="A13312" s="5">
        <f>13304</f>
      </c>
      <c r="B13312" s="5" t="s">
        <v>12583</v>
      </c>
      <c r="C13312" s="5" t="s">
        <v>11</v>
      </c>
      <c r="D13312" s="5" t="s">
        <v>12</v>
      </c>
      <c r="E13312" s="5" t="s">
        <v>843</v>
      </c>
    </row>
    <row r="13313" spans="1:5" x14ac:dyDescent="0.25">
      <c r="A13313" s="5">
        <f>13305</f>
      </c>
      <c r="B13313" s="5" t="s">
        <v>12584</v>
      </c>
      <c r="C13313" s="5" t="s">
        <v>11</v>
      </c>
      <c r="D13313" s="5" t="s">
        <v>12</v>
      </c>
      <c r="E13313" s="5" t="s">
        <v>843</v>
      </c>
    </row>
    <row r="13314" spans="1:5" x14ac:dyDescent="0.25">
      <c r="A13314" s="5">
        <f>13306</f>
      </c>
      <c r="B13314" s="5" t="s">
        <v>12585</v>
      </c>
      <c r="C13314" s="5" t="s">
        <v>11</v>
      </c>
      <c r="D13314" s="5" t="s">
        <v>12</v>
      </c>
      <c r="E13314" s="5" t="s">
        <v>843</v>
      </c>
    </row>
    <row r="13315" spans="1:5" x14ac:dyDescent="0.25">
      <c r="A13315" s="5">
        <f>13307</f>
      </c>
      <c r="B13315" s="5" t="s">
        <v>12586</v>
      </c>
      <c r="C13315" s="5" t="s">
        <v>11</v>
      </c>
      <c r="D13315" s="5" t="s">
        <v>12</v>
      </c>
      <c r="E13315" s="5" t="s">
        <v>843</v>
      </c>
    </row>
    <row r="13316" spans="1:5" x14ac:dyDescent="0.25">
      <c r="A13316" s="5">
        <f>13308</f>
      </c>
      <c r="B13316" s="5" t="s">
        <v>12587</v>
      </c>
      <c r="C13316" s="5" t="s">
        <v>11</v>
      </c>
      <c r="D13316" s="5" t="s">
        <v>12</v>
      </c>
      <c r="E13316" s="5" t="s">
        <v>843</v>
      </c>
    </row>
    <row r="13317" spans="1:5" x14ac:dyDescent="0.25">
      <c r="A13317" s="5">
        <f>13309</f>
      </c>
      <c r="B13317" s="5" t="s">
        <v>12588</v>
      </c>
      <c r="C13317" s="5" t="s">
        <v>11</v>
      </c>
      <c r="D13317" s="5" t="s">
        <v>12</v>
      </c>
      <c r="E13317" s="5" t="s">
        <v>843</v>
      </c>
    </row>
    <row r="13318" spans="1:5" x14ac:dyDescent="0.25">
      <c r="A13318" s="5">
        <f>13310</f>
      </c>
      <c r="B13318" s="5" t="s">
        <v>12589</v>
      </c>
      <c r="C13318" s="5" t="s">
        <v>11</v>
      </c>
      <c r="D13318" s="5" t="s">
        <v>12</v>
      </c>
      <c r="E13318" s="5" t="s">
        <v>843</v>
      </c>
    </row>
    <row r="13319" spans="1:5" x14ac:dyDescent="0.25">
      <c r="A13319" s="5">
        <f>13311</f>
      </c>
      <c r="B13319" s="5" t="s">
        <v>12590</v>
      </c>
      <c r="C13319" s="5" t="s">
        <v>11</v>
      </c>
      <c r="D13319" s="5" t="s">
        <v>12</v>
      </c>
      <c r="E13319" s="5" t="s">
        <v>843</v>
      </c>
    </row>
    <row r="13320" spans="1:5" x14ac:dyDescent="0.25">
      <c r="A13320" s="5">
        <f>13312</f>
      </c>
      <c r="B13320" s="5" t="s">
        <v>12591</v>
      </c>
      <c r="C13320" s="5" t="s">
        <v>11</v>
      </c>
      <c r="D13320" s="5" t="s">
        <v>12</v>
      </c>
      <c r="E13320" s="5" t="s">
        <v>843</v>
      </c>
    </row>
    <row r="13321" spans="1:5" x14ac:dyDescent="0.25">
      <c r="A13321" s="5">
        <f>13313</f>
      </c>
      <c r="B13321" s="5" t="s">
        <v>12592</v>
      </c>
      <c r="C13321" s="5" t="s">
        <v>11</v>
      </c>
      <c r="D13321" s="5" t="s">
        <v>12</v>
      </c>
      <c r="E13321" s="5" t="s">
        <v>843</v>
      </c>
    </row>
    <row r="13322" spans="1:5" x14ac:dyDescent="0.25">
      <c r="A13322" s="5">
        <f>13314</f>
      </c>
      <c r="B13322" s="5" t="s">
        <v>12593</v>
      </c>
      <c r="C13322" s="5" t="s">
        <v>11</v>
      </c>
      <c r="D13322" s="5" t="s">
        <v>12</v>
      </c>
      <c r="E13322" s="5" t="s">
        <v>843</v>
      </c>
    </row>
    <row r="13323" spans="1:5" x14ac:dyDescent="0.25">
      <c r="A13323" s="5">
        <f>13315</f>
      </c>
      <c r="B13323" s="5" t="s">
        <v>12594</v>
      </c>
      <c r="C13323" s="5" t="s">
        <v>11</v>
      </c>
      <c r="D13323" s="5" t="s">
        <v>12</v>
      </c>
      <c r="E13323" s="5" t="s">
        <v>843</v>
      </c>
    </row>
    <row r="13324" spans="1:5" x14ac:dyDescent="0.25">
      <c r="A13324" s="5">
        <f>13316</f>
      </c>
      <c r="B13324" s="5" t="s">
        <v>12595</v>
      </c>
      <c r="C13324" s="5" t="s">
        <v>11</v>
      </c>
      <c r="D13324" s="5" t="s">
        <v>12</v>
      </c>
      <c r="E13324" s="5" t="s">
        <v>843</v>
      </c>
    </row>
    <row r="13325" spans="1:5" x14ac:dyDescent="0.25">
      <c r="A13325" s="5">
        <f>13317</f>
      </c>
      <c r="B13325" s="5" t="s">
        <v>12596</v>
      </c>
      <c r="C13325" s="5" t="s">
        <v>11</v>
      </c>
      <c r="D13325" s="5" t="s">
        <v>12</v>
      </c>
      <c r="E13325" s="5" t="s">
        <v>843</v>
      </c>
    </row>
    <row r="13326" spans="1:5" x14ac:dyDescent="0.25">
      <c r="A13326" s="5">
        <f>13318</f>
      </c>
      <c r="B13326" s="5" t="s">
        <v>12597</v>
      </c>
      <c r="C13326" s="5" t="s">
        <v>11</v>
      </c>
      <c r="D13326" s="5" t="s">
        <v>12</v>
      </c>
      <c r="E13326" s="5" t="s">
        <v>843</v>
      </c>
    </row>
    <row r="13327" spans="1:5" x14ac:dyDescent="0.25">
      <c r="A13327" s="5">
        <f>13319</f>
      </c>
      <c r="B13327" s="5" t="s">
        <v>12598</v>
      </c>
      <c r="C13327" s="5" t="s">
        <v>11</v>
      </c>
      <c r="D13327" s="5" t="s">
        <v>12</v>
      </c>
      <c r="E13327" s="5" t="s">
        <v>843</v>
      </c>
    </row>
    <row r="13328" spans="1:5" x14ac:dyDescent="0.25">
      <c r="A13328" s="5">
        <f>13320</f>
      </c>
      <c r="B13328" s="5" t="s">
        <v>12599</v>
      </c>
      <c r="C13328" s="5" t="s">
        <v>11</v>
      </c>
      <c r="D13328" s="5" t="s">
        <v>12</v>
      </c>
      <c r="E13328" s="5" t="s">
        <v>4075</v>
      </c>
    </row>
    <row r="13329" spans="1:5" x14ac:dyDescent="0.25">
      <c r="A13329" s="5">
        <f>13321</f>
      </c>
      <c r="B13329" s="5" t="s">
        <v>12600</v>
      </c>
      <c r="C13329" s="5" t="s">
        <v>11</v>
      </c>
      <c r="D13329" s="5" t="s">
        <v>12</v>
      </c>
      <c r="E13329" s="5" t="s">
        <v>3563</v>
      </c>
    </row>
    <row r="13330" spans="1:5" x14ac:dyDescent="0.25">
      <c r="A13330" s="5">
        <f>13322</f>
      </c>
      <c r="B13330" s="5" t="s">
        <v>12601</v>
      </c>
      <c r="C13330" s="5" t="s">
        <v>11</v>
      </c>
      <c r="D13330" s="5" t="s">
        <v>12</v>
      </c>
      <c r="E13330" s="5" t="s">
        <v>1036</v>
      </c>
    </row>
    <row r="13331" spans="1:5" x14ac:dyDescent="0.25">
      <c r="A13331" s="5">
        <f>13323</f>
      </c>
      <c r="B13331" s="5" t="s">
        <v>12602</v>
      </c>
      <c r="C13331" s="5" t="s">
        <v>11</v>
      </c>
      <c r="D13331" s="5" t="s">
        <v>12</v>
      </c>
      <c r="E13331" s="5" t="s">
        <v>10683</v>
      </c>
    </row>
    <row r="13332" spans="1:5" x14ac:dyDescent="0.25">
      <c r="A13332" s="5">
        <f>13324</f>
      </c>
      <c r="B13332" s="5" t="s">
        <v>12603</v>
      </c>
      <c r="C13332" s="5" t="s">
        <v>11</v>
      </c>
      <c r="D13332" s="5" t="s">
        <v>12</v>
      </c>
      <c r="E13332" s="5" t="s">
        <v>3771</v>
      </c>
    </row>
    <row r="13333" spans="1:5" x14ac:dyDescent="0.25">
      <c r="A13333" s="5">
        <f>13325</f>
      </c>
      <c r="B13333" s="5" t="s">
        <v>12604</v>
      </c>
      <c r="C13333" s="5" t="s">
        <v>11</v>
      </c>
      <c r="D13333" s="5" t="s">
        <v>12</v>
      </c>
      <c r="E13333" s="5" t="s">
        <v>892</v>
      </c>
    </row>
    <row r="13334" spans="1:5" x14ac:dyDescent="0.25">
      <c r="A13334" s="5">
        <f>13326</f>
      </c>
      <c r="B13334" s="5" t="s">
        <v>12605</v>
      </c>
      <c r="C13334" s="5" t="s">
        <v>11</v>
      </c>
      <c r="D13334" s="5" t="s">
        <v>12</v>
      </c>
      <c r="E13334" s="5" t="s">
        <v>730</v>
      </c>
    </row>
    <row r="13335" spans="1:5" x14ac:dyDescent="0.25">
      <c r="A13335" s="5">
        <f>13327</f>
      </c>
      <c r="B13335" s="5" t="s">
        <v>12606</v>
      </c>
      <c r="C13335" s="5" t="s">
        <v>11</v>
      </c>
      <c r="D13335" s="5" t="s">
        <v>12</v>
      </c>
      <c r="E13335" s="5" t="s">
        <v>2398</v>
      </c>
    </row>
    <row r="13336" spans="1:5" x14ac:dyDescent="0.25">
      <c r="A13336" s="5">
        <f>13328</f>
      </c>
      <c r="B13336" s="5" t="s">
        <v>12607</v>
      </c>
      <c r="C13336" s="5" t="s">
        <v>11</v>
      </c>
      <c r="D13336" s="5" t="s">
        <v>12</v>
      </c>
      <c r="E13336" s="5" t="s">
        <v>2293</v>
      </c>
    </row>
    <row r="13337" spans="1:5" x14ac:dyDescent="0.25">
      <c r="A13337" s="5">
        <f>13329</f>
      </c>
      <c r="B13337" s="5" t="s">
        <v>12608</v>
      </c>
      <c r="C13337" s="5" t="s">
        <v>11</v>
      </c>
      <c r="D13337" s="5" t="s">
        <v>12</v>
      </c>
      <c r="E13337" s="5" t="s">
        <v>2829</v>
      </c>
    </row>
    <row r="13338" spans="1:5" x14ac:dyDescent="0.25">
      <c r="A13338" s="5">
        <f>13330</f>
      </c>
      <c r="B13338" s="5" t="s">
        <v>12609</v>
      </c>
      <c r="C13338" s="5" t="s">
        <v>11</v>
      </c>
      <c r="D13338" s="5" t="s">
        <v>12</v>
      </c>
      <c r="E13338" s="5" t="s">
        <v>2829</v>
      </c>
    </row>
    <row r="13339" spans="1:5" x14ac:dyDescent="0.25">
      <c r="A13339" s="5">
        <f>13331</f>
      </c>
      <c r="B13339" s="5" t="s">
        <v>12610</v>
      </c>
      <c r="C13339" s="5" t="s">
        <v>11</v>
      </c>
      <c r="D13339" s="5" t="s">
        <v>12</v>
      </c>
      <c r="E13339" s="5" t="s">
        <v>2829</v>
      </c>
    </row>
    <row r="13340" spans="1:5" x14ac:dyDescent="0.25">
      <c r="A13340" s="5">
        <f>13332</f>
      </c>
      <c r="B13340" s="5" t="s">
        <v>12611</v>
      </c>
      <c r="C13340" s="5" t="s">
        <v>11</v>
      </c>
      <c r="D13340" s="5" t="s">
        <v>12</v>
      </c>
      <c r="E13340" s="5" t="s">
        <v>2829</v>
      </c>
    </row>
    <row r="13341" spans="1:5" x14ac:dyDescent="0.25">
      <c r="A13341" s="5">
        <f>13333</f>
      </c>
      <c r="B13341" s="5" t="s">
        <v>12612</v>
      </c>
      <c r="C13341" s="5" t="s">
        <v>11</v>
      </c>
      <c r="D13341" s="5" t="s">
        <v>12</v>
      </c>
      <c r="E13341" s="5" t="s">
        <v>2829</v>
      </c>
    </row>
    <row r="13342" spans="1:5" x14ac:dyDescent="0.25">
      <c r="A13342" s="5">
        <f>13334</f>
      </c>
      <c r="B13342" s="5" t="s">
        <v>12613</v>
      </c>
      <c r="C13342" s="5" t="s">
        <v>11</v>
      </c>
      <c r="D13342" s="5" t="s">
        <v>12</v>
      </c>
      <c r="E13342" s="5" t="s">
        <v>2829</v>
      </c>
    </row>
    <row r="13343" spans="1:5" x14ac:dyDescent="0.25">
      <c r="A13343" s="5">
        <f>13335</f>
      </c>
      <c r="B13343" s="5" t="s">
        <v>12614</v>
      </c>
      <c r="C13343" s="5" t="s">
        <v>11</v>
      </c>
      <c r="D13343" s="5" t="s">
        <v>12</v>
      </c>
      <c r="E13343" s="5" t="s">
        <v>2829</v>
      </c>
    </row>
    <row r="13344" spans="1:5" x14ac:dyDescent="0.25">
      <c r="A13344" s="5">
        <f>13336</f>
      </c>
      <c r="B13344" s="5" t="s">
        <v>12615</v>
      </c>
      <c r="C13344" s="5" t="s">
        <v>11</v>
      </c>
      <c r="D13344" s="5" t="s">
        <v>12</v>
      </c>
      <c r="E13344" s="5" t="s">
        <v>2829</v>
      </c>
    </row>
    <row r="13345" spans="1:5" x14ac:dyDescent="0.25">
      <c r="A13345" s="5">
        <f>13337</f>
      </c>
      <c r="B13345" s="5" t="s">
        <v>12616</v>
      </c>
      <c r="C13345" s="5" t="s">
        <v>11</v>
      </c>
      <c r="D13345" s="5" t="s">
        <v>12</v>
      </c>
      <c r="E13345" s="5" t="s">
        <v>2829</v>
      </c>
    </row>
    <row r="13346" spans="1:5" x14ac:dyDescent="0.25">
      <c r="A13346" s="5">
        <f>13338</f>
      </c>
      <c r="B13346" s="5" t="s">
        <v>12617</v>
      </c>
      <c r="C13346" s="5" t="s">
        <v>11</v>
      </c>
      <c r="D13346" s="5" t="s">
        <v>12</v>
      </c>
      <c r="E13346" s="5" t="s">
        <v>2829</v>
      </c>
    </row>
    <row r="13347" spans="1:5" x14ac:dyDescent="0.25">
      <c r="A13347" s="5">
        <f>13339</f>
      </c>
      <c r="B13347" s="5" t="s">
        <v>12618</v>
      </c>
      <c r="C13347" s="5" t="s">
        <v>11</v>
      </c>
      <c r="D13347" s="5" t="s">
        <v>12</v>
      </c>
      <c r="E13347" s="5" t="s">
        <v>2829</v>
      </c>
    </row>
    <row r="13348" spans="1:5" x14ac:dyDescent="0.25">
      <c r="A13348" s="5">
        <f>13340</f>
      </c>
      <c r="B13348" s="5" t="s">
        <v>12619</v>
      </c>
      <c r="C13348" s="5" t="s">
        <v>11</v>
      </c>
      <c r="D13348" s="5" t="s">
        <v>12</v>
      </c>
      <c r="E13348" s="5" t="s">
        <v>2829</v>
      </c>
    </row>
    <row r="13349" spans="1:5" x14ac:dyDescent="0.25">
      <c r="A13349" s="5">
        <f>13341</f>
      </c>
      <c r="B13349" s="5" t="s">
        <v>12620</v>
      </c>
      <c r="C13349" s="5" t="s">
        <v>11</v>
      </c>
      <c r="D13349" s="5" t="s">
        <v>12</v>
      </c>
      <c r="E13349" s="5" t="s">
        <v>3962</v>
      </c>
    </row>
    <row r="13350" spans="1:5" x14ac:dyDescent="0.25">
      <c r="A13350" s="5">
        <f>13342</f>
      </c>
      <c r="B13350" s="5" t="s">
        <v>12621</v>
      </c>
      <c r="C13350" s="5" t="s">
        <v>11</v>
      </c>
      <c r="D13350" s="5" t="s">
        <v>12</v>
      </c>
      <c r="E13350" s="5" t="s">
        <v>3962</v>
      </c>
    </row>
    <row r="13351" spans="1:5" x14ac:dyDescent="0.25">
      <c r="A13351" s="5">
        <f>13343</f>
      </c>
      <c r="B13351" s="5" t="s">
        <v>12622</v>
      </c>
      <c r="C13351" s="5" t="s">
        <v>11</v>
      </c>
      <c r="D13351" s="5" t="s">
        <v>12</v>
      </c>
      <c r="E13351" s="5" t="s">
        <v>3962</v>
      </c>
    </row>
    <row r="13352" spans="1:5" x14ac:dyDescent="0.25">
      <c r="A13352" s="5">
        <f>13344</f>
      </c>
      <c r="B13352" s="5" t="s">
        <v>12623</v>
      </c>
      <c r="C13352" s="5" t="s">
        <v>11</v>
      </c>
      <c r="D13352" s="5" t="s">
        <v>12</v>
      </c>
      <c r="E13352" s="5" t="s">
        <v>2343</v>
      </c>
    </row>
    <row r="13353" spans="1:5" x14ac:dyDescent="0.25">
      <c r="A13353" s="5">
        <f>13345</f>
      </c>
      <c r="B13353" s="5" t="s">
        <v>12624</v>
      </c>
      <c r="C13353" s="5" t="s">
        <v>11</v>
      </c>
      <c r="D13353" s="5" t="s">
        <v>12</v>
      </c>
      <c r="E13353" s="5" t="s">
        <v>2343</v>
      </c>
    </row>
    <row r="13354" spans="1:5" x14ac:dyDescent="0.25">
      <c r="A13354" s="5">
        <f>13346</f>
      </c>
      <c r="B13354" s="5" t="s">
        <v>12625</v>
      </c>
      <c r="C13354" s="5" t="s">
        <v>11</v>
      </c>
      <c r="D13354" s="5" t="s">
        <v>12</v>
      </c>
      <c r="E13354" s="5" t="s">
        <v>2262</v>
      </c>
    </row>
    <row r="13355" spans="1:5" x14ac:dyDescent="0.25">
      <c r="A13355" s="5">
        <f>13347</f>
      </c>
      <c r="B13355" s="5" t="s">
        <v>12626</v>
      </c>
      <c r="C13355" s="5" t="s">
        <v>11</v>
      </c>
      <c r="D13355" s="5" t="s">
        <v>12</v>
      </c>
      <c r="E13355" s="5" t="s">
        <v>999</v>
      </c>
    </row>
    <row r="13356" spans="1:5" x14ac:dyDescent="0.25">
      <c r="A13356" s="5">
        <f>13348</f>
      </c>
      <c r="B13356" s="5" t="s">
        <v>12627</v>
      </c>
      <c r="C13356" s="5" t="s">
        <v>11</v>
      </c>
      <c r="D13356" s="5" t="s">
        <v>12</v>
      </c>
      <c r="E13356" s="5" t="s">
        <v>3493</v>
      </c>
    </row>
    <row r="13357" spans="1:5" x14ac:dyDescent="0.25">
      <c r="A13357" s="5">
        <f>13349</f>
      </c>
      <c r="B13357" s="5" t="s">
        <v>12628</v>
      </c>
      <c r="C13357" s="5" t="s">
        <v>11</v>
      </c>
      <c r="D13357" s="5" t="s">
        <v>12</v>
      </c>
      <c r="E13357" s="5" t="s">
        <v>3538</v>
      </c>
    </row>
    <row r="13358" spans="1:5" x14ac:dyDescent="0.25">
      <c r="A13358" s="5">
        <f>13350</f>
      </c>
      <c r="B13358" s="5" t="s">
        <v>12629</v>
      </c>
      <c r="C13358" s="5" t="s">
        <v>11</v>
      </c>
      <c r="D13358" s="5" t="s">
        <v>12</v>
      </c>
      <c r="E13358" s="5" t="s">
        <v>2876</v>
      </c>
    </row>
    <row r="13359" spans="1:5" x14ac:dyDescent="0.25">
      <c r="A13359" s="5">
        <f>13351</f>
      </c>
      <c r="B13359" s="5" t="s">
        <v>12630</v>
      </c>
      <c r="C13359" s="5" t="s">
        <v>11</v>
      </c>
      <c r="D13359" s="5" t="s">
        <v>12</v>
      </c>
      <c r="E13359" s="5" t="s">
        <v>3686</v>
      </c>
    </row>
    <row r="13360" spans="1:5" x14ac:dyDescent="0.25">
      <c r="A13360" s="5">
        <f>13352</f>
      </c>
      <c r="B13360" s="5" t="s">
        <v>12631</v>
      </c>
      <c r="C13360" s="5" t="s">
        <v>11</v>
      </c>
      <c r="D13360" s="5" t="s">
        <v>12</v>
      </c>
      <c r="E13360" s="5" t="s">
        <v>2304</v>
      </c>
    </row>
    <row r="13361" spans="1:5" x14ac:dyDescent="0.25">
      <c r="A13361" s="5">
        <f>13353</f>
      </c>
      <c r="B13361" s="5" t="s">
        <v>12632</v>
      </c>
      <c r="C13361" s="5" t="s">
        <v>11</v>
      </c>
      <c r="D13361" s="5" t="s">
        <v>12</v>
      </c>
      <c r="E13361" s="5" t="s">
        <v>10843</v>
      </c>
    </row>
    <row r="13362" spans="1:5" x14ac:dyDescent="0.25">
      <c r="A13362" s="5">
        <f>13354</f>
      </c>
      <c r="B13362" s="5" t="s">
        <v>12633</v>
      </c>
      <c r="C13362" s="5" t="s">
        <v>11</v>
      </c>
      <c r="D13362" s="5" t="s">
        <v>12</v>
      </c>
      <c r="E13362" s="5" t="s">
        <v>3386</v>
      </c>
    </row>
    <row r="13363" spans="1:5" x14ac:dyDescent="0.25">
      <c r="A13363" s="5">
        <f>13355</f>
      </c>
      <c r="B13363" s="5" t="s">
        <v>12634</v>
      </c>
      <c r="C13363" s="5" t="s">
        <v>11</v>
      </c>
      <c r="D13363" s="5" t="s">
        <v>12</v>
      </c>
      <c r="E13363" s="5" t="s">
        <v>921</v>
      </c>
    </row>
    <row r="13364" spans="1:5" x14ac:dyDescent="0.25">
      <c r="A13364" s="5">
        <f>13356</f>
      </c>
      <c r="B13364" s="5" t="s">
        <v>12635</v>
      </c>
      <c r="C13364" s="5" t="s">
        <v>11</v>
      </c>
      <c r="D13364" s="5" t="s">
        <v>12</v>
      </c>
      <c r="E13364" s="5" t="s">
        <v>3533</v>
      </c>
    </row>
    <row r="13365" spans="1:5" x14ac:dyDescent="0.25">
      <c r="A13365" s="5">
        <f>13357</f>
      </c>
      <c r="B13365" s="5" t="s">
        <v>12636</v>
      </c>
      <c r="C13365" s="5" t="s">
        <v>11</v>
      </c>
      <c r="D13365" s="5" t="s">
        <v>12</v>
      </c>
      <c r="E13365" s="5" t="s">
        <v>3601</v>
      </c>
    </row>
    <row r="13366" spans="1:5" x14ac:dyDescent="0.25">
      <c r="A13366" s="5">
        <f>13358</f>
      </c>
      <c r="B13366" s="5" t="s">
        <v>12637</v>
      </c>
      <c r="C13366" s="5" t="s">
        <v>11</v>
      </c>
      <c r="D13366" s="5" t="s">
        <v>12</v>
      </c>
      <c r="E13366" s="5" t="s">
        <v>4164</v>
      </c>
    </row>
    <row r="13367" spans="1:5" x14ac:dyDescent="0.25">
      <c r="A13367" s="5">
        <f>13359</f>
      </c>
      <c r="B13367" s="5" t="s">
        <v>12638</v>
      </c>
      <c r="C13367" s="5" t="s">
        <v>11</v>
      </c>
      <c r="D13367" s="5" t="s">
        <v>12</v>
      </c>
      <c r="E13367" s="5" t="s">
        <v>3606</v>
      </c>
    </row>
    <row r="13368" spans="1:5" x14ac:dyDescent="0.25">
      <c r="A13368" s="5">
        <f>13360</f>
      </c>
      <c r="B13368" s="5" t="s">
        <v>12639</v>
      </c>
      <c r="C13368" s="5" t="s">
        <v>11</v>
      </c>
      <c r="D13368" s="5" t="s">
        <v>12</v>
      </c>
      <c r="E13368" s="5" t="s">
        <v>3879</v>
      </c>
    </row>
    <row r="13369" spans="1:5" x14ac:dyDescent="0.25">
      <c r="A13369" s="5">
        <f>13361</f>
      </c>
      <c r="B13369" s="5" t="s">
        <v>12640</v>
      </c>
      <c r="C13369" s="5" t="s">
        <v>11</v>
      </c>
      <c r="D13369" s="5" t="s">
        <v>12</v>
      </c>
      <c r="E13369" s="5" t="s">
        <v>2343</v>
      </c>
    </row>
    <row r="13370" spans="1:5" x14ac:dyDescent="0.25">
      <c r="A13370" s="5">
        <f>13362</f>
      </c>
      <c r="B13370" s="5" t="s">
        <v>12641</v>
      </c>
      <c r="C13370" s="5" t="s">
        <v>11</v>
      </c>
      <c r="D13370" s="5" t="s">
        <v>12</v>
      </c>
      <c r="E13370" s="5" t="s">
        <v>2632</v>
      </c>
    </row>
    <row r="13371" spans="1:5" x14ac:dyDescent="0.25">
      <c r="A13371" s="5">
        <f>13363</f>
      </c>
      <c r="B13371" s="5" t="s">
        <v>12642</v>
      </c>
      <c r="C13371" s="5" t="s">
        <v>11</v>
      </c>
      <c r="D13371" s="5" t="s">
        <v>12</v>
      </c>
      <c r="E13371" s="5" t="s">
        <v>826</v>
      </c>
    </row>
    <row r="13372" spans="1:5" x14ac:dyDescent="0.25">
      <c r="A13372" s="5">
        <f>13364</f>
      </c>
      <c r="B13372" s="5" t="s">
        <v>12643</v>
      </c>
      <c r="C13372" s="5" t="s">
        <v>11</v>
      </c>
      <c r="D13372" s="5" t="s">
        <v>12</v>
      </c>
      <c r="E13372" s="5" t="s">
        <v>3958</v>
      </c>
    </row>
    <row r="13373" spans="1:5" x14ac:dyDescent="0.25">
      <c r="A13373" s="5">
        <f>13365</f>
      </c>
      <c r="B13373" s="5" t="s">
        <v>12644</v>
      </c>
      <c r="C13373" s="5" t="s">
        <v>11</v>
      </c>
      <c r="D13373" s="5" t="s">
        <v>12</v>
      </c>
      <c r="E13373" s="5" t="s">
        <v>10705</v>
      </c>
    </row>
    <row r="13374" spans="1:5" x14ac:dyDescent="0.25">
      <c r="A13374" s="5">
        <f>13366</f>
      </c>
      <c r="B13374" s="5" t="s">
        <v>12645</v>
      </c>
      <c r="C13374" s="5" t="s">
        <v>11</v>
      </c>
      <c r="D13374" s="5" t="s">
        <v>12</v>
      </c>
      <c r="E13374" s="5" t="s">
        <v>10683</v>
      </c>
    </row>
    <row r="13375" spans="1:5" x14ac:dyDescent="0.25">
      <c r="A13375" s="5">
        <f>13367</f>
      </c>
      <c r="B13375" s="5" t="s">
        <v>12646</v>
      </c>
      <c r="C13375" s="5" t="s">
        <v>11</v>
      </c>
      <c r="D13375" s="5" t="s">
        <v>12</v>
      </c>
      <c r="E13375" s="5" t="s">
        <v>2304</v>
      </c>
    </row>
    <row r="13376" spans="1:5" x14ac:dyDescent="0.25">
      <c r="A13376" s="5">
        <f>13368</f>
      </c>
      <c r="B13376" s="5" t="s">
        <v>12647</v>
      </c>
      <c r="C13376" s="5" t="s">
        <v>11</v>
      </c>
      <c r="D13376" s="5" t="s">
        <v>12</v>
      </c>
      <c r="E13376" s="5" t="s">
        <v>4072</v>
      </c>
    </row>
    <row r="13377" spans="1:5" x14ac:dyDescent="0.25">
      <c r="A13377" s="5">
        <f>13369</f>
      </c>
      <c r="B13377" s="5" t="s">
        <v>12648</v>
      </c>
      <c r="C13377" s="5" t="s">
        <v>11</v>
      </c>
      <c r="D13377" s="5" t="s">
        <v>12</v>
      </c>
      <c r="E13377" s="5" t="s">
        <v>885</v>
      </c>
    </row>
    <row r="13378" spans="1:5" x14ac:dyDescent="0.25">
      <c r="A13378" s="5">
        <f>13370</f>
      </c>
      <c r="B13378" s="5" t="s">
        <v>12649</v>
      </c>
      <c r="C13378" s="5" t="s">
        <v>11</v>
      </c>
      <c r="D13378" s="5" t="s">
        <v>12</v>
      </c>
      <c r="E13378" s="5" t="s">
        <v>3771</v>
      </c>
    </row>
    <row r="13379" spans="1:5" x14ac:dyDescent="0.25">
      <c r="A13379" s="5">
        <f>13371</f>
      </c>
      <c r="B13379" s="5" t="s">
        <v>12650</v>
      </c>
      <c r="C13379" s="5" t="s">
        <v>11</v>
      </c>
      <c r="D13379" s="5" t="s">
        <v>12</v>
      </c>
      <c r="E13379" s="5" t="s">
        <v>966</v>
      </c>
    </row>
    <row r="13380" spans="1:5" x14ac:dyDescent="0.25">
      <c r="A13380" s="5">
        <f>13372</f>
      </c>
      <c r="B13380" s="5" t="s">
        <v>12651</v>
      </c>
      <c r="C13380" s="5" t="s">
        <v>11</v>
      </c>
      <c r="D13380" s="5" t="s">
        <v>12</v>
      </c>
      <c r="E13380" s="5" t="s">
        <v>2296</v>
      </c>
    </row>
    <row r="13381" spans="1:5" x14ac:dyDescent="0.25">
      <c r="A13381" s="5">
        <f>13373</f>
      </c>
      <c r="B13381" s="5" t="s">
        <v>12652</v>
      </c>
      <c r="C13381" s="5" t="s">
        <v>11</v>
      </c>
      <c r="D13381" s="5" t="s">
        <v>12</v>
      </c>
      <c r="E13381" s="5" t="s">
        <v>2883</v>
      </c>
    </row>
    <row r="13382" spans="1:5" x14ac:dyDescent="0.25">
      <c r="A13382" s="5">
        <f>13374</f>
      </c>
      <c r="B13382" s="5" t="s">
        <v>12653</v>
      </c>
      <c r="C13382" s="5" t="s">
        <v>11</v>
      </c>
      <c r="D13382" s="5" t="s">
        <v>12</v>
      </c>
      <c r="E13382" s="5" t="s">
        <v>3932</v>
      </c>
    </row>
    <row r="13383" spans="1:5" x14ac:dyDescent="0.25">
      <c r="A13383" s="5">
        <f>13375</f>
      </c>
      <c r="B13383" s="5" t="s">
        <v>12654</v>
      </c>
      <c r="C13383" s="5" t="s">
        <v>11</v>
      </c>
      <c r="D13383" s="5" t="s">
        <v>12</v>
      </c>
      <c r="E13383" s="5" t="s">
        <v>2622</v>
      </c>
    </row>
    <row r="13384" spans="1:5" x14ac:dyDescent="0.25">
      <c r="A13384" s="5">
        <f>13376</f>
      </c>
      <c r="B13384" s="5" t="s">
        <v>12655</v>
      </c>
      <c r="C13384" s="5" t="s">
        <v>11</v>
      </c>
      <c r="D13384" s="5" t="s">
        <v>12</v>
      </c>
      <c r="E13384" s="5" t="s">
        <v>921</v>
      </c>
    </row>
    <row r="13385" spans="1:5" x14ac:dyDescent="0.25">
      <c r="A13385" s="5">
        <f>13377</f>
      </c>
      <c r="B13385" s="5" t="s">
        <v>12656</v>
      </c>
      <c r="C13385" s="5" t="s">
        <v>11</v>
      </c>
      <c r="D13385" s="5" t="s">
        <v>12</v>
      </c>
      <c r="E13385" s="5" t="s">
        <v>10059</v>
      </c>
    </row>
    <row r="13386" spans="1:5" x14ac:dyDescent="0.25">
      <c r="A13386" s="5">
        <f>13378</f>
      </c>
      <c r="B13386" s="5" t="s">
        <v>12657</v>
      </c>
      <c r="C13386" s="5" t="s">
        <v>11</v>
      </c>
      <c r="D13386" s="5" t="s">
        <v>12</v>
      </c>
      <c r="E13386" s="5" t="s">
        <v>4066</v>
      </c>
    </row>
    <row r="13387" spans="1:5" x14ac:dyDescent="0.25">
      <c r="A13387" s="5">
        <f>13379</f>
      </c>
      <c r="B13387" s="5" t="s">
        <v>12658</v>
      </c>
      <c r="C13387" s="5" t="s">
        <v>11</v>
      </c>
      <c r="D13387" s="5" t="s">
        <v>12</v>
      </c>
      <c r="E13387" s="5" t="s">
        <v>1020</v>
      </c>
    </row>
    <row r="13388" spans="1:5" x14ac:dyDescent="0.25">
      <c r="A13388" s="5">
        <f>13380</f>
      </c>
      <c r="B13388" s="5" t="s">
        <v>12659</v>
      </c>
      <c r="C13388" s="5" t="s">
        <v>11</v>
      </c>
      <c r="D13388" s="5" t="s">
        <v>12</v>
      </c>
      <c r="E13388" s="5" t="s">
        <v>4105</v>
      </c>
    </row>
    <row r="13389" spans="1:5" x14ac:dyDescent="0.25">
      <c r="A13389" s="5">
        <f>13381</f>
      </c>
      <c r="B13389" s="5" t="s">
        <v>12660</v>
      </c>
      <c r="C13389" s="5" t="s">
        <v>11</v>
      </c>
      <c r="D13389" s="5" t="s">
        <v>12</v>
      </c>
      <c r="E13389" s="5" t="s">
        <v>2396</v>
      </c>
    </row>
    <row r="13390" spans="1:5" x14ac:dyDescent="0.25">
      <c r="A13390" s="5">
        <f>13382</f>
      </c>
      <c r="B13390" s="5" t="s">
        <v>12661</v>
      </c>
      <c r="C13390" s="5" t="s">
        <v>11</v>
      </c>
      <c r="D13390" s="5" t="s">
        <v>12</v>
      </c>
      <c r="E13390" s="5" t="s">
        <v>2396</v>
      </c>
    </row>
    <row r="13391" spans="1:5" x14ac:dyDescent="0.25">
      <c r="A13391" s="5">
        <f>13383</f>
      </c>
      <c r="B13391" s="5" t="s">
        <v>12662</v>
      </c>
      <c r="C13391" s="5" t="s">
        <v>11</v>
      </c>
      <c r="D13391" s="5" t="s">
        <v>12</v>
      </c>
      <c r="E13391" s="5" t="s">
        <v>2396</v>
      </c>
    </row>
    <row r="13392" spans="1:5" x14ac:dyDescent="0.25">
      <c r="A13392" s="5">
        <f>13384</f>
      </c>
      <c r="B13392" s="5" t="s">
        <v>12663</v>
      </c>
      <c r="C13392" s="5" t="s">
        <v>11</v>
      </c>
      <c r="D13392" s="5" t="s">
        <v>12</v>
      </c>
      <c r="E13392" s="5" t="s">
        <v>2396</v>
      </c>
    </row>
    <row r="13393" spans="1:5" x14ac:dyDescent="0.25">
      <c r="A13393" s="5">
        <f>13385</f>
      </c>
      <c r="B13393" s="5" t="s">
        <v>12664</v>
      </c>
      <c r="C13393" s="5" t="s">
        <v>11</v>
      </c>
      <c r="D13393" s="5" t="s">
        <v>12</v>
      </c>
      <c r="E13393" s="5" t="s">
        <v>2396</v>
      </c>
    </row>
    <row r="13394" spans="1:5" x14ac:dyDescent="0.25">
      <c r="A13394" s="5">
        <f>13386</f>
      </c>
      <c r="B13394" s="5" t="s">
        <v>12665</v>
      </c>
      <c r="C13394" s="5" t="s">
        <v>11</v>
      </c>
      <c r="D13394" s="5" t="s">
        <v>12</v>
      </c>
      <c r="E13394" s="5" t="s">
        <v>2396</v>
      </c>
    </row>
    <row r="13395" spans="1:5" x14ac:dyDescent="0.25">
      <c r="A13395" s="5">
        <f>13387</f>
      </c>
      <c r="B13395" s="5" t="s">
        <v>12666</v>
      </c>
      <c r="C13395" s="5" t="s">
        <v>11</v>
      </c>
      <c r="D13395" s="5" t="s">
        <v>12</v>
      </c>
      <c r="E13395" s="5" t="s">
        <v>2396</v>
      </c>
    </row>
    <row r="13396" spans="1:5" x14ac:dyDescent="0.25">
      <c r="A13396" s="5">
        <f>13388</f>
      </c>
      <c r="B13396" s="5" t="s">
        <v>12667</v>
      </c>
      <c r="C13396" s="5" t="s">
        <v>11</v>
      </c>
      <c r="D13396" s="5" t="s">
        <v>12</v>
      </c>
      <c r="E13396" s="5" t="s">
        <v>2396</v>
      </c>
    </row>
    <row r="13397" spans="1:5" x14ac:dyDescent="0.25">
      <c r="A13397" s="5">
        <f>13389</f>
      </c>
      <c r="B13397" s="5" t="s">
        <v>12668</v>
      </c>
      <c r="C13397" s="5" t="s">
        <v>11</v>
      </c>
      <c r="D13397" s="5" t="s">
        <v>12</v>
      </c>
      <c r="E13397" s="5" t="s">
        <v>2396</v>
      </c>
    </row>
    <row r="13398" spans="1:5" x14ac:dyDescent="0.25">
      <c r="A13398" s="5">
        <f>13390</f>
      </c>
      <c r="B13398" s="5" t="s">
        <v>12669</v>
      </c>
      <c r="C13398" s="5" t="s">
        <v>11</v>
      </c>
      <c r="D13398" s="5" t="s">
        <v>12</v>
      </c>
      <c r="E13398" s="5" t="s">
        <v>2396</v>
      </c>
    </row>
    <row r="13399" spans="1:5" x14ac:dyDescent="0.25">
      <c r="A13399" s="5">
        <f>13391</f>
      </c>
      <c r="B13399" s="5" t="s">
        <v>12670</v>
      </c>
      <c r="C13399" s="5" t="s">
        <v>11</v>
      </c>
      <c r="D13399" s="5" t="s">
        <v>12</v>
      </c>
      <c r="E13399" s="5" t="s">
        <v>2396</v>
      </c>
    </row>
    <row r="13400" spans="1:5" x14ac:dyDescent="0.25">
      <c r="A13400" s="5">
        <f>13392</f>
      </c>
      <c r="B13400" s="5" t="s">
        <v>12671</v>
      </c>
      <c r="C13400" s="5" t="s">
        <v>11</v>
      </c>
      <c r="D13400" s="5" t="s">
        <v>12</v>
      </c>
      <c r="E13400" s="5" t="s">
        <v>2396</v>
      </c>
    </row>
    <row r="13401" spans="1:5" x14ac:dyDescent="0.25">
      <c r="A13401" s="5">
        <f>13393</f>
      </c>
      <c r="B13401" s="5" t="s">
        <v>12672</v>
      </c>
      <c r="C13401" s="5" t="s">
        <v>11</v>
      </c>
      <c r="D13401" s="5" t="s">
        <v>12</v>
      </c>
      <c r="E13401" s="5" t="s">
        <v>2396</v>
      </c>
    </row>
    <row r="13402" spans="1:5" x14ac:dyDescent="0.25">
      <c r="A13402" s="5">
        <f>13394</f>
      </c>
      <c r="B13402" s="5" t="s">
        <v>12673</v>
      </c>
      <c r="C13402" s="5" t="s">
        <v>11</v>
      </c>
      <c r="D13402" s="5" t="s">
        <v>12</v>
      </c>
      <c r="E13402" s="5" t="s">
        <v>2396</v>
      </c>
    </row>
    <row r="13403" spans="1:5" x14ac:dyDescent="0.25">
      <c r="A13403" s="5">
        <f>13395</f>
      </c>
      <c r="B13403" s="5" t="s">
        <v>12674</v>
      </c>
      <c r="C13403" s="5" t="s">
        <v>11</v>
      </c>
      <c r="D13403" s="5" t="s">
        <v>12</v>
      </c>
      <c r="E13403" s="5" t="s">
        <v>2396</v>
      </c>
    </row>
    <row r="13404" spans="1:5" x14ac:dyDescent="0.25">
      <c r="A13404" s="5">
        <f>13396</f>
      </c>
      <c r="B13404" s="5" t="s">
        <v>12675</v>
      </c>
      <c r="C13404" s="5" t="s">
        <v>11</v>
      </c>
      <c r="D13404" s="5" t="s">
        <v>12</v>
      </c>
      <c r="E13404" s="5" t="s">
        <v>2396</v>
      </c>
    </row>
    <row r="13405" spans="1:5" x14ac:dyDescent="0.25">
      <c r="A13405" s="5">
        <f>13397</f>
      </c>
      <c r="B13405" s="5" t="s">
        <v>12676</v>
      </c>
      <c r="C13405" s="5" t="s">
        <v>11</v>
      </c>
      <c r="D13405" s="5" t="s">
        <v>12</v>
      </c>
      <c r="E13405" s="5" t="s">
        <v>2396</v>
      </c>
    </row>
    <row r="13406" spans="1:5" x14ac:dyDescent="0.25">
      <c r="A13406" s="5">
        <f>13398</f>
      </c>
      <c r="B13406" s="5" t="s">
        <v>12677</v>
      </c>
      <c r="C13406" s="5" t="s">
        <v>11</v>
      </c>
      <c r="D13406" s="5" t="s">
        <v>12</v>
      </c>
      <c r="E13406" s="5" t="s">
        <v>2396</v>
      </c>
    </row>
    <row r="13407" spans="1:5" x14ac:dyDescent="0.25">
      <c r="A13407" s="5">
        <f>13399</f>
      </c>
      <c r="B13407" s="5" t="s">
        <v>12678</v>
      </c>
      <c r="C13407" s="5" t="s">
        <v>11</v>
      </c>
      <c r="D13407" s="5" t="s">
        <v>12</v>
      </c>
      <c r="E13407" s="5" t="s">
        <v>2396</v>
      </c>
    </row>
    <row r="13408" spans="1:5" x14ac:dyDescent="0.25">
      <c r="A13408" s="5">
        <f>13400</f>
      </c>
      <c r="B13408" s="5" t="s">
        <v>12679</v>
      </c>
      <c r="C13408" s="5" t="s">
        <v>11</v>
      </c>
      <c r="D13408" s="5" t="s">
        <v>12</v>
      </c>
      <c r="E13408" s="5" t="s">
        <v>2396</v>
      </c>
    </row>
    <row r="13409" spans="1:5" x14ac:dyDescent="0.25">
      <c r="A13409" s="5">
        <f>13401</f>
      </c>
      <c r="B13409" s="5" t="s">
        <v>12680</v>
      </c>
      <c r="C13409" s="5" t="s">
        <v>11</v>
      </c>
      <c r="D13409" s="5" t="s">
        <v>12</v>
      </c>
      <c r="E13409" s="5" t="s">
        <v>2396</v>
      </c>
    </row>
    <row r="13410" spans="1:5" x14ac:dyDescent="0.25">
      <c r="A13410" s="5">
        <f>13402</f>
      </c>
      <c r="B13410" s="5" t="s">
        <v>12681</v>
      </c>
      <c r="C13410" s="5" t="s">
        <v>11</v>
      </c>
      <c r="D13410" s="5" t="s">
        <v>12</v>
      </c>
      <c r="E13410" s="5" t="s">
        <v>2396</v>
      </c>
    </row>
    <row r="13411" spans="1:5" x14ac:dyDescent="0.25">
      <c r="A13411" s="5">
        <f>13403</f>
      </c>
      <c r="B13411" s="5" t="s">
        <v>12682</v>
      </c>
      <c r="C13411" s="5" t="s">
        <v>11</v>
      </c>
      <c r="D13411" s="5" t="s">
        <v>12</v>
      </c>
      <c r="E13411" s="5" t="s">
        <v>2396</v>
      </c>
    </row>
    <row r="13412" spans="1:5" x14ac:dyDescent="0.25">
      <c r="A13412" s="5">
        <f>13404</f>
      </c>
      <c r="B13412" s="5" t="s">
        <v>12683</v>
      </c>
      <c r="C13412" s="5" t="s">
        <v>11</v>
      </c>
      <c r="D13412" s="5" t="s">
        <v>12</v>
      </c>
      <c r="E13412" s="5" t="s">
        <v>2396</v>
      </c>
    </row>
    <row r="13413" spans="1:5" x14ac:dyDescent="0.25">
      <c r="A13413" s="5">
        <f>13405</f>
      </c>
      <c r="B13413" s="5" t="s">
        <v>12684</v>
      </c>
      <c r="C13413" s="5" t="s">
        <v>11</v>
      </c>
      <c r="D13413" s="5" t="s">
        <v>12</v>
      </c>
      <c r="E13413" s="5" t="s">
        <v>2396</v>
      </c>
    </row>
    <row r="13414" spans="1:5" x14ac:dyDescent="0.25">
      <c r="A13414" s="5">
        <f>13406</f>
      </c>
      <c r="B13414" s="5" t="s">
        <v>12685</v>
      </c>
      <c r="C13414" s="5" t="s">
        <v>11</v>
      </c>
      <c r="D13414" s="5" t="s">
        <v>12</v>
      </c>
      <c r="E13414" s="5" t="s">
        <v>2396</v>
      </c>
    </row>
    <row r="13415" spans="1:5" x14ac:dyDescent="0.25">
      <c r="A13415" s="5">
        <f>13407</f>
      </c>
      <c r="B13415" s="5" t="s">
        <v>12686</v>
      </c>
      <c r="C13415" s="5" t="s">
        <v>11</v>
      </c>
      <c r="D13415" s="5" t="s">
        <v>12</v>
      </c>
      <c r="E13415" s="5" t="s">
        <v>2396</v>
      </c>
    </row>
    <row r="13416" spans="1:5" x14ac:dyDescent="0.25">
      <c r="A13416" s="5">
        <f>13408</f>
      </c>
      <c r="B13416" s="5" t="s">
        <v>12687</v>
      </c>
      <c r="C13416" s="5" t="s">
        <v>11</v>
      </c>
      <c r="D13416" s="5" t="s">
        <v>12</v>
      </c>
      <c r="E13416" s="5" t="s">
        <v>2396</v>
      </c>
    </row>
    <row r="13417" spans="1:5" x14ac:dyDescent="0.25">
      <c r="A13417" s="5">
        <f>13409</f>
      </c>
      <c r="B13417" s="5" t="s">
        <v>12688</v>
      </c>
      <c r="C13417" s="5" t="s">
        <v>11</v>
      </c>
      <c r="D13417" s="5" t="s">
        <v>12</v>
      </c>
      <c r="E13417" s="5" t="s">
        <v>2396</v>
      </c>
    </row>
    <row r="13418" spans="1:5" x14ac:dyDescent="0.25">
      <c r="A13418" s="5">
        <f>13410</f>
      </c>
      <c r="B13418" s="5" t="s">
        <v>12689</v>
      </c>
      <c r="C13418" s="5" t="s">
        <v>11</v>
      </c>
      <c r="D13418" s="5" t="s">
        <v>12</v>
      </c>
      <c r="E13418" s="5" t="s">
        <v>2396</v>
      </c>
    </row>
    <row r="13419" spans="1:5" x14ac:dyDescent="0.25">
      <c r="A13419" s="5">
        <f>13411</f>
      </c>
      <c r="B13419" s="5" t="s">
        <v>12690</v>
      </c>
      <c r="C13419" s="5" t="s">
        <v>11</v>
      </c>
      <c r="D13419" s="5" t="s">
        <v>12</v>
      </c>
      <c r="E13419" s="5" t="s">
        <v>2396</v>
      </c>
    </row>
    <row r="13420" spans="1:5" x14ac:dyDescent="0.25">
      <c r="A13420" s="5">
        <f>13412</f>
      </c>
      <c r="B13420" s="5" t="s">
        <v>12691</v>
      </c>
      <c r="C13420" s="5" t="s">
        <v>11</v>
      </c>
      <c r="D13420" s="5" t="s">
        <v>12</v>
      </c>
      <c r="E13420" s="5" t="s">
        <v>2396</v>
      </c>
    </row>
    <row r="13421" spans="1:5" x14ac:dyDescent="0.25">
      <c r="A13421" s="5">
        <f>13413</f>
      </c>
      <c r="B13421" s="5" t="s">
        <v>12692</v>
      </c>
      <c r="C13421" s="5" t="s">
        <v>11</v>
      </c>
      <c r="D13421" s="5" t="s">
        <v>12</v>
      </c>
      <c r="E13421" s="5" t="s">
        <v>2396</v>
      </c>
    </row>
    <row r="13422" spans="1:5" x14ac:dyDescent="0.25">
      <c r="A13422" s="5">
        <f>13414</f>
      </c>
      <c r="B13422" s="5" t="s">
        <v>12693</v>
      </c>
      <c r="C13422" s="5" t="s">
        <v>11</v>
      </c>
      <c r="D13422" s="5" t="s">
        <v>12</v>
      </c>
      <c r="E13422" s="5" t="s">
        <v>2396</v>
      </c>
    </row>
    <row r="13423" spans="1:5" x14ac:dyDescent="0.25">
      <c r="A13423" s="5">
        <f>13415</f>
      </c>
      <c r="B13423" s="5" t="s">
        <v>12694</v>
      </c>
      <c r="C13423" s="5" t="s">
        <v>11</v>
      </c>
      <c r="D13423" s="5" t="s">
        <v>12</v>
      </c>
      <c r="E13423" s="5" t="s">
        <v>2396</v>
      </c>
    </row>
    <row r="13424" spans="1:5" x14ac:dyDescent="0.25">
      <c r="A13424" s="5">
        <f>13416</f>
      </c>
      <c r="B13424" s="5" t="s">
        <v>12695</v>
      </c>
      <c r="C13424" s="5" t="s">
        <v>11</v>
      </c>
      <c r="D13424" s="5" t="s">
        <v>12</v>
      </c>
      <c r="E13424" s="5" t="s">
        <v>2396</v>
      </c>
    </row>
    <row r="13425" spans="1:5" x14ac:dyDescent="0.25">
      <c r="A13425" s="5">
        <f>13417</f>
      </c>
      <c r="B13425" s="5" t="s">
        <v>12696</v>
      </c>
      <c r="C13425" s="5" t="s">
        <v>11</v>
      </c>
      <c r="D13425" s="5" t="s">
        <v>12</v>
      </c>
      <c r="E13425" s="5" t="s">
        <v>2396</v>
      </c>
    </row>
    <row r="13426" spans="1:5" x14ac:dyDescent="0.25">
      <c r="A13426" s="5">
        <f>13418</f>
      </c>
      <c r="B13426" s="5" t="s">
        <v>12697</v>
      </c>
      <c r="C13426" s="5" t="s">
        <v>11</v>
      </c>
      <c r="D13426" s="5" t="s">
        <v>12</v>
      </c>
      <c r="E13426" s="5" t="s">
        <v>2396</v>
      </c>
    </row>
    <row r="13427" spans="1:5" x14ac:dyDescent="0.25">
      <c r="A13427" s="5">
        <f>13419</f>
      </c>
      <c r="B13427" s="5" t="s">
        <v>12698</v>
      </c>
      <c r="C13427" s="5" t="s">
        <v>11</v>
      </c>
      <c r="D13427" s="5" t="s">
        <v>12</v>
      </c>
      <c r="E13427" s="5" t="s">
        <v>2396</v>
      </c>
    </row>
    <row r="13428" spans="1:5" x14ac:dyDescent="0.25">
      <c r="A13428" s="5">
        <f>13420</f>
      </c>
      <c r="B13428" s="5" t="s">
        <v>12699</v>
      </c>
      <c r="C13428" s="5" t="s">
        <v>11</v>
      </c>
      <c r="D13428" s="5" t="s">
        <v>12</v>
      </c>
      <c r="E13428" s="5" t="s">
        <v>2396</v>
      </c>
    </row>
    <row r="13429" spans="1:5" x14ac:dyDescent="0.25">
      <c r="A13429" s="5">
        <f>13421</f>
      </c>
      <c r="B13429" s="5" t="s">
        <v>12700</v>
      </c>
      <c r="C13429" s="5" t="s">
        <v>11</v>
      </c>
      <c r="D13429" s="5" t="s">
        <v>12</v>
      </c>
      <c r="E13429" s="5" t="s">
        <v>2396</v>
      </c>
    </row>
    <row r="13430" spans="1:5" x14ac:dyDescent="0.25">
      <c r="A13430" s="5">
        <f>13422</f>
      </c>
      <c r="B13430" s="5" t="s">
        <v>12701</v>
      </c>
      <c r="C13430" s="5" t="s">
        <v>11</v>
      </c>
      <c r="D13430" s="5" t="s">
        <v>12</v>
      </c>
      <c r="E13430" s="5" t="s">
        <v>2396</v>
      </c>
    </row>
    <row r="13431" spans="1:5" x14ac:dyDescent="0.25">
      <c r="A13431" s="5">
        <f>13423</f>
      </c>
      <c r="B13431" s="5" t="s">
        <v>12702</v>
      </c>
      <c r="C13431" s="5" t="s">
        <v>11</v>
      </c>
      <c r="D13431" s="5" t="s">
        <v>12</v>
      </c>
      <c r="E13431" s="5" t="s">
        <v>2396</v>
      </c>
    </row>
    <row r="13432" spans="1:5" x14ac:dyDescent="0.25">
      <c r="A13432" s="5">
        <f>13424</f>
      </c>
      <c r="B13432" s="5" t="s">
        <v>12703</v>
      </c>
      <c r="C13432" s="5" t="s">
        <v>11</v>
      </c>
      <c r="D13432" s="5" t="s">
        <v>12</v>
      </c>
      <c r="E13432" s="5" t="s">
        <v>2396</v>
      </c>
    </row>
    <row r="13433" spans="1:5" x14ac:dyDescent="0.25">
      <c r="A13433" s="5">
        <f>13425</f>
      </c>
      <c r="B13433" s="5" t="s">
        <v>12704</v>
      </c>
      <c r="C13433" s="5" t="s">
        <v>11</v>
      </c>
      <c r="D13433" s="5" t="s">
        <v>12</v>
      </c>
      <c r="E13433" s="5" t="s">
        <v>2396</v>
      </c>
    </row>
    <row r="13434" spans="1:5" x14ac:dyDescent="0.25">
      <c r="A13434" s="5">
        <f>13426</f>
      </c>
      <c r="B13434" s="5" t="s">
        <v>12705</v>
      </c>
      <c r="C13434" s="5" t="s">
        <v>11</v>
      </c>
      <c r="D13434" s="5" t="s">
        <v>12</v>
      </c>
      <c r="E13434" s="5" t="s">
        <v>2396</v>
      </c>
    </row>
    <row r="13435" spans="1:5" x14ac:dyDescent="0.25">
      <c r="A13435" s="5">
        <f>13427</f>
      </c>
      <c r="B13435" s="5" t="s">
        <v>12706</v>
      </c>
      <c r="C13435" s="5" t="s">
        <v>11</v>
      </c>
      <c r="D13435" s="5" t="s">
        <v>12</v>
      </c>
      <c r="E13435" s="5" t="s">
        <v>2396</v>
      </c>
    </row>
    <row r="13436" spans="1:5" x14ac:dyDescent="0.25">
      <c r="A13436" s="5">
        <f>13428</f>
      </c>
      <c r="B13436" s="5" t="s">
        <v>12707</v>
      </c>
      <c r="C13436" s="5" t="s">
        <v>11</v>
      </c>
      <c r="D13436" s="5" t="s">
        <v>12</v>
      </c>
      <c r="E13436" s="5" t="s">
        <v>2396</v>
      </c>
    </row>
    <row r="13437" spans="1:5" x14ac:dyDescent="0.25">
      <c r="A13437" s="5">
        <f>13429</f>
      </c>
      <c r="B13437" s="5" t="s">
        <v>12708</v>
      </c>
      <c r="C13437" s="5" t="s">
        <v>11</v>
      </c>
      <c r="D13437" s="5" t="s">
        <v>12</v>
      </c>
      <c r="E13437" s="5" t="s">
        <v>2396</v>
      </c>
    </row>
    <row r="13438" spans="1:5" x14ac:dyDescent="0.25">
      <c r="A13438" s="5">
        <f>13430</f>
      </c>
      <c r="B13438" s="5" t="s">
        <v>12709</v>
      </c>
      <c r="C13438" s="5" t="s">
        <v>11</v>
      </c>
      <c r="D13438" s="5" t="s">
        <v>12</v>
      </c>
      <c r="E13438" s="5" t="s">
        <v>2396</v>
      </c>
    </row>
    <row r="13439" spans="1:5" x14ac:dyDescent="0.25">
      <c r="A13439" s="5">
        <f>13431</f>
      </c>
      <c r="B13439" s="5" t="s">
        <v>12710</v>
      </c>
      <c r="C13439" s="5" t="s">
        <v>11</v>
      </c>
      <c r="D13439" s="5" t="s">
        <v>12</v>
      </c>
      <c r="E13439" s="5" t="s">
        <v>2396</v>
      </c>
    </row>
    <row r="13440" spans="1:5" x14ac:dyDescent="0.25">
      <c r="A13440" s="5">
        <f>13432</f>
      </c>
      <c r="B13440" s="5" t="s">
        <v>12711</v>
      </c>
      <c r="C13440" s="5" t="s">
        <v>11</v>
      </c>
      <c r="D13440" s="5" t="s">
        <v>12</v>
      </c>
      <c r="E13440" s="5" t="s">
        <v>2396</v>
      </c>
    </row>
    <row r="13441" spans="1:5" x14ac:dyDescent="0.25">
      <c r="A13441" s="5">
        <f>13433</f>
      </c>
      <c r="B13441" s="5" t="s">
        <v>12712</v>
      </c>
      <c r="C13441" s="5" t="s">
        <v>11</v>
      </c>
      <c r="D13441" s="5" t="s">
        <v>12</v>
      </c>
      <c r="E13441" s="5" t="s">
        <v>2396</v>
      </c>
    </row>
    <row r="13442" spans="1:5" x14ac:dyDescent="0.25">
      <c r="A13442" s="5">
        <f>13434</f>
      </c>
      <c r="B13442" s="5" t="s">
        <v>12713</v>
      </c>
      <c r="C13442" s="5" t="s">
        <v>11</v>
      </c>
      <c r="D13442" s="5" t="s">
        <v>12</v>
      </c>
      <c r="E13442" s="5" t="s">
        <v>2396</v>
      </c>
    </row>
    <row r="13443" spans="1:5" x14ac:dyDescent="0.25">
      <c r="A13443" s="5">
        <f>13435</f>
      </c>
      <c r="B13443" s="5" t="s">
        <v>12714</v>
      </c>
      <c r="C13443" s="5" t="s">
        <v>11</v>
      </c>
      <c r="D13443" s="5" t="s">
        <v>12</v>
      </c>
      <c r="E13443" s="5" t="s">
        <v>2396</v>
      </c>
    </row>
    <row r="13444" spans="1:5" x14ac:dyDescent="0.25">
      <c r="A13444" s="5">
        <f>13436</f>
      </c>
      <c r="B13444" s="5" t="s">
        <v>12715</v>
      </c>
      <c r="C13444" s="5" t="s">
        <v>11</v>
      </c>
      <c r="D13444" s="5" t="s">
        <v>12</v>
      </c>
      <c r="E13444" s="5" t="s">
        <v>2396</v>
      </c>
    </row>
    <row r="13445" spans="1:5" x14ac:dyDescent="0.25">
      <c r="A13445" s="5">
        <f>13437</f>
      </c>
      <c r="B13445" s="5" t="s">
        <v>12716</v>
      </c>
      <c r="C13445" s="5" t="s">
        <v>11</v>
      </c>
      <c r="D13445" s="5" t="s">
        <v>12</v>
      </c>
      <c r="E13445" s="5" t="s">
        <v>2396</v>
      </c>
    </row>
    <row r="13446" spans="1:5" x14ac:dyDescent="0.25">
      <c r="A13446" s="5">
        <f>13438</f>
      </c>
      <c r="B13446" s="5" t="s">
        <v>12717</v>
      </c>
      <c r="C13446" s="5" t="s">
        <v>11</v>
      </c>
      <c r="D13446" s="5" t="s">
        <v>12</v>
      </c>
      <c r="E13446" s="5" t="s">
        <v>2396</v>
      </c>
    </row>
    <row r="13447" spans="1:5" x14ac:dyDescent="0.25">
      <c r="A13447" s="5">
        <f>13439</f>
      </c>
      <c r="B13447" s="5" t="s">
        <v>12718</v>
      </c>
      <c r="C13447" s="5" t="s">
        <v>11</v>
      </c>
      <c r="D13447" s="5" t="s">
        <v>12</v>
      </c>
      <c r="E13447" s="5" t="s">
        <v>2396</v>
      </c>
    </row>
    <row r="13448" spans="1:5" x14ac:dyDescent="0.25">
      <c r="A13448" s="5">
        <f>13440</f>
      </c>
      <c r="B13448" s="5" t="s">
        <v>12719</v>
      </c>
      <c r="C13448" s="5" t="s">
        <v>11</v>
      </c>
      <c r="D13448" s="5" t="s">
        <v>12</v>
      </c>
      <c r="E13448" s="5" t="s">
        <v>2396</v>
      </c>
    </row>
    <row r="13449" spans="1:5" x14ac:dyDescent="0.25">
      <c r="A13449" s="5">
        <f>13441</f>
      </c>
      <c r="B13449" s="5" t="s">
        <v>12720</v>
      </c>
      <c r="C13449" s="5" t="s">
        <v>11</v>
      </c>
      <c r="D13449" s="5" t="s">
        <v>12</v>
      </c>
      <c r="E13449" s="5" t="s">
        <v>3555</v>
      </c>
    </row>
    <row r="13450" spans="1:5" x14ac:dyDescent="0.25">
      <c r="A13450" s="5">
        <f>13442</f>
      </c>
      <c r="B13450" s="5" t="s">
        <v>12721</v>
      </c>
      <c r="C13450" s="5" t="s">
        <v>11</v>
      </c>
      <c r="D13450" s="5" t="s">
        <v>12</v>
      </c>
      <c r="E13450" s="5" t="s">
        <v>3555</v>
      </c>
    </row>
    <row r="13451" spans="1:5" x14ac:dyDescent="0.25">
      <c r="A13451" s="5">
        <f>13443</f>
      </c>
      <c r="B13451" s="5" t="s">
        <v>12722</v>
      </c>
      <c r="C13451" s="5" t="s">
        <v>11</v>
      </c>
      <c r="D13451" s="5" t="s">
        <v>12</v>
      </c>
      <c r="E13451" s="5" t="s">
        <v>3555</v>
      </c>
    </row>
    <row r="13452" spans="1:5" x14ac:dyDescent="0.25">
      <c r="A13452" s="5">
        <f>13444</f>
      </c>
      <c r="B13452" s="5" t="s">
        <v>12723</v>
      </c>
      <c r="C13452" s="5" t="s">
        <v>11</v>
      </c>
      <c r="D13452" s="5" t="s">
        <v>12</v>
      </c>
      <c r="E13452" s="5" t="s">
        <v>3555</v>
      </c>
    </row>
    <row r="13453" spans="1:5" x14ac:dyDescent="0.25">
      <c r="A13453" s="5">
        <f>13445</f>
      </c>
      <c r="B13453" s="5" t="s">
        <v>12724</v>
      </c>
      <c r="C13453" s="5" t="s">
        <v>11</v>
      </c>
      <c r="D13453" s="5" t="s">
        <v>12</v>
      </c>
      <c r="E13453" s="5" t="s">
        <v>3555</v>
      </c>
    </row>
    <row r="13454" spans="1:5" x14ac:dyDescent="0.25">
      <c r="A13454" s="5">
        <f>13446</f>
      </c>
      <c r="B13454" s="5" t="s">
        <v>12725</v>
      </c>
      <c r="C13454" s="5" t="s">
        <v>11</v>
      </c>
      <c r="D13454" s="5" t="s">
        <v>12</v>
      </c>
      <c r="E13454" s="5" t="s">
        <v>3555</v>
      </c>
    </row>
    <row r="13455" spans="1:5" x14ac:dyDescent="0.25">
      <c r="A13455" s="5">
        <f>13447</f>
      </c>
      <c r="B13455" s="5" t="s">
        <v>12726</v>
      </c>
      <c r="C13455" s="5" t="s">
        <v>11</v>
      </c>
      <c r="D13455" s="5" t="s">
        <v>12</v>
      </c>
      <c r="E13455" s="5" t="s">
        <v>3555</v>
      </c>
    </row>
    <row r="13456" spans="1:5" x14ac:dyDescent="0.25">
      <c r="A13456" s="5">
        <f>13448</f>
      </c>
      <c r="B13456" s="5" t="s">
        <v>12727</v>
      </c>
      <c r="C13456" s="5" t="s">
        <v>11</v>
      </c>
      <c r="D13456" s="5" t="s">
        <v>12</v>
      </c>
      <c r="E13456" s="5" t="s">
        <v>3555</v>
      </c>
    </row>
    <row r="13457" spans="1:5" x14ac:dyDescent="0.25">
      <c r="A13457" s="5">
        <f>13449</f>
      </c>
      <c r="B13457" s="5" t="s">
        <v>12728</v>
      </c>
      <c r="C13457" s="5" t="s">
        <v>11</v>
      </c>
      <c r="D13457" s="5" t="s">
        <v>12</v>
      </c>
      <c r="E13457" s="5" t="s">
        <v>3555</v>
      </c>
    </row>
    <row r="13458" spans="1:5" x14ac:dyDescent="0.25">
      <c r="A13458" s="5">
        <f>13450</f>
      </c>
      <c r="B13458" s="5" t="s">
        <v>12729</v>
      </c>
      <c r="C13458" s="5" t="s">
        <v>11</v>
      </c>
      <c r="D13458" s="5" t="s">
        <v>12</v>
      </c>
      <c r="E13458" s="5" t="s">
        <v>3555</v>
      </c>
    </row>
    <row r="13459" spans="1:5" x14ac:dyDescent="0.25">
      <c r="A13459" s="5">
        <f>13451</f>
      </c>
      <c r="B13459" s="5" t="s">
        <v>12730</v>
      </c>
      <c r="C13459" s="5" t="s">
        <v>11</v>
      </c>
      <c r="D13459" s="5" t="s">
        <v>12</v>
      </c>
      <c r="E13459" s="5" t="s">
        <v>3555</v>
      </c>
    </row>
    <row r="13460" spans="1:5" x14ac:dyDescent="0.25">
      <c r="A13460" s="5">
        <f>13452</f>
      </c>
      <c r="B13460" s="5" t="s">
        <v>12731</v>
      </c>
      <c r="C13460" s="5" t="s">
        <v>11</v>
      </c>
      <c r="D13460" s="5" t="s">
        <v>12</v>
      </c>
      <c r="E13460" s="5" t="s">
        <v>3555</v>
      </c>
    </row>
    <row r="13461" spans="1:5" x14ac:dyDescent="0.25">
      <c r="A13461" s="5">
        <f>13453</f>
      </c>
      <c r="B13461" s="5" t="s">
        <v>12732</v>
      </c>
      <c r="C13461" s="5" t="s">
        <v>11</v>
      </c>
      <c r="D13461" s="5" t="s">
        <v>12</v>
      </c>
      <c r="E13461" s="5" t="s">
        <v>3555</v>
      </c>
    </row>
    <row r="13462" spans="1:5" x14ac:dyDescent="0.25">
      <c r="A13462" s="5">
        <f>13454</f>
      </c>
      <c r="B13462" s="5" t="s">
        <v>12733</v>
      </c>
      <c r="C13462" s="5" t="s">
        <v>11</v>
      </c>
      <c r="D13462" s="5" t="s">
        <v>12</v>
      </c>
      <c r="E13462" s="5" t="s">
        <v>3555</v>
      </c>
    </row>
    <row r="13463" spans="1:5" x14ac:dyDescent="0.25">
      <c r="A13463" s="5">
        <f>13455</f>
      </c>
      <c r="B13463" s="5" t="s">
        <v>12734</v>
      </c>
      <c r="C13463" s="5" t="s">
        <v>11</v>
      </c>
      <c r="D13463" s="5" t="s">
        <v>12</v>
      </c>
      <c r="E13463" s="5" t="s">
        <v>3555</v>
      </c>
    </row>
    <row r="13464" spans="1:5" x14ac:dyDescent="0.25">
      <c r="A13464" s="5">
        <f>13456</f>
      </c>
      <c r="B13464" s="5" t="s">
        <v>12735</v>
      </c>
      <c r="C13464" s="5" t="s">
        <v>11</v>
      </c>
      <c r="D13464" s="5" t="s">
        <v>12</v>
      </c>
      <c r="E13464" s="5" t="s">
        <v>3555</v>
      </c>
    </row>
    <row r="13465" spans="1:5" x14ac:dyDescent="0.25">
      <c r="A13465" s="5">
        <f>13457</f>
      </c>
      <c r="B13465" s="5" t="s">
        <v>12736</v>
      </c>
      <c r="C13465" s="5" t="s">
        <v>11</v>
      </c>
      <c r="D13465" s="5" t="s">
        <v>12</v>
      </c>
      <c r="E13465" s="5" t="s">
        <v>3555</v>
      </c>
    </row>
    <row r="13466" spans="1:5" x14ac:dyDescent="0.25">
      <c r="A13466" s="5">
        <f>13458</f>
      </c>
      <c r="B13466" s="5" t="s">
        <v>12737</v>
      </c>
      <c r="C13466" s="5" t="s">
        <v>11</v>
      </c>
      <c r="D13466" s="5" t="s">
        <v>12</v>
      </c>
      <c r="E13466" s="5" t="s">
        <v>3555</v>
      </c>
    </row>
    <row r="13467" spans="1:5" x14ac:dyDescent="0.25">
      <c r="A13467" s="5">
        <f>13459</f>
      </c>
      <c r="B13467" s="5" t="s">
        <v>12738</v>
      </c>
      <c r="C13467" s="5" t="s">
        <v>11</v>
      </c>
      <c r="D13467" s="5" t="s">
        <v>12</v>
      </c>
      <c r="E13467" s="5" t="s">
        <v>3555</v>
      </c>
    </row>
    <row r="13468" spans="1:5" x14ac:dyDescent="0.25">
      <c r="A13468" s="5">
        <f>13460</f>
      </c>
      <c r="B13468" s="5" t="s">
        <v>12739</v>
      </c>
      <c r="C13468" s="5" t="s">
        <v>11</v>
      </c>
      <c r="D13468" s="5" t="s">
        <v>12</v>
      </c>
      <c r="E13468" s="5" t="s">
        <v>3555</v>
      </c>
    </row>
    <row r="13469" spans="1:5" x14ac:dyDescent="0.25">
      <c r="A13469" s="5">
        <f>13461</f>
      </c>
      <c r="B13469" s="5" t="s">
        <v>12740</v>
      </c>
      <c r="C13469" s="5" t="s">
        <v>11</v>
      </c>
      <c r="D13469" s="5" t="s">
        <v>12</v>
      </c>
      <c r="E13469" s="5" t="s">
        <v>3555</v>
      </c>
    </row>
    <row r="13470" spans="1:5" x14ac:dyDescent="0.25">
      <c r="A13470" s="5">
        <f>13462</f>
      </c>
      <c r="B13470" s="5" t="s">
        <v>12741</v>
      </c>
      <c r="C13470" s="5" t="s">
        <v>11</v>
      </c>
      <c r="D13470" s="5" t="s">
        <v>12</v>
      </c>
      <c r="E13470" s="5" t="s">
        <v>3555</v>
      </c>
    </row>
    <row r="13471" spans="1:5" x14ac:dyDescent="0.25">
      <c r="A13471" s="5">
        <f>13463</f>
      </c>
      <c r="B13471" s="5" t="s">
        <v>12742</v>
      </c>
      <c r="C13471" s="5" t="s">
        <v>11</v>
      </c>
      <c r="D13471" s="5" t="s">
        <v>12</v>
      </c>
      <c r="E13471" s="5" t="s">
        <v>3555</v>
      </c>
    </row>
    <row r="13472" spans="1:5" x14ac:dyDescent="0.25">
      <c r="A13472" s="5">
        <f>13464</f>
      </c>
      <c r="B13472" s="5" t="s">
        <v>12743</v>
      </c>
      <c r="C13472" s="5" t="s">
        <v>11</v>
      </c>
      <c r="D13472" s="5" t="s">
        <v>12</v>
      </c>
      <c r="E13472" s="5" t="s">
        <v>3555</v>
      </c>
    </row>
    <row r="13473" spans="1:5" x14ac:dyDescent="0.25">
      <c r="A13473" s="5">
        <f>13465</f>
      </c>
      <c r="B13473" s="5" t="s">
        <v>12744</v>
      </c>
      <c r="C13473" s="5" t="s">
        <v>11</v>
      </c>
      <c r="D13473" s="5" t="s">
        <v>12</v>
      </c>
      <c r="E13473" s="5" t="s">
        <v>3555</v>
      </c>
    </row>
    <row r="13474" spans="1:5" x14ac:dyDescent="0.25">
      <c r="A13474" s="5">
        <f>13466</f>
      </c>
      <c r="B13474" s="5" t="s">
        <v>12745</v>
      </c>
      <c r="C13474" s="5" t="s">
        <v>11</v>
      </c>
      <c r="D13474" s="5" t="s">
        <v>12</v>
      </c>
      <c r="E13474" s="5" t="s">
        <v>3555</v>
      </c>
    </row>
    <row r="13475" spans="1:5" x14ac:dyDescent="0.25">
      <c r="A13475" s="5">
        <f>13467</f>
      </c>
      <c r="B13475" s="5" t="s">
        <v>12746</v>
      </c>
      <c r="C13475" s="5" t="s">
        <v>11</v>
      </c>
      <c r="D13475" s="5" t="s">
        <v>12</v>
      </c>
      <c r="E13475" s="5" t="s">
        <v>3555</v>
      </c>
    </row>
    <row r="13476" spans="1:5" x14ac:dyDescent="0.25">
      <c r="A13476" s="5">
        <f>13468</f>
      </c>
      <c r="B13476" s="5" t="s">
        <v>12747</v>
      </c>
      <c r="C13476" s="5" t="s">
        <v>11</v>
      </c>
      <c r="D13476" s="5" t="s">
        <v>12</v>
      </c>
      <c r="E13476" s="5" t="s">
        <v>3555</v>
      </c>
    </row>
    <row r="13477" spans="1:5" x14ac:dyDescent="0.25">
      <c r="A13477" s="5">
        <f>13469</f>
      </c>
      <c r="B13477" s="5" t="s">
        <v>12748</v>
      </c>
      <c r="C13477" s="5" t="s">
        <v>11</v>
      </c>
      <c r="D13477" s="5" t="s">
        <v>12</v>
      </c>
      <c r="E13477" s="5" t="s">
        <v>3555</v>
      </c>
    </row>
    <row r="13478" spans="1:5" x14ac:dyDescent="0.25">
      <c r="A13478" s="5">
        <f>13470</f>
      </c>
      <c r="B13478" s="5" t="s">
        <v>12749</v>
      </c>
      <c r="C13478" s="5" t="s">
        <v>11</v>
      </c>
      <c r="D13478" s="5" t="s">
        <v>12</v>
      </c>
      <c r="E13478" s="5" t="s">
        <v>3555</v>
      </c>
    </row>
    <row r="13479" spans="1:5" x14ac:dyDescent="0.25">
      <c r="A13479" s="5">
        <f>13471</f>
      </c>
      <c r="B13479" s="5" t="s">
        <v>12750</v>
      </c>
      <c r="C13479" s="5" t="s">
        <v>11</v>
      </c>
      <c r="D13479" s="5" t="s">
        <v>12</v>
      </c>
      <c r="E13479" s="5" t="s">
        <v>3555</v>
      </c>
    </row>
    <row r="13480" spans="1:5" x14ac:dyDescent="0.25">
      <c r="A13480" s="5">
        <f>13472</f>
      </c>
      <c r="B13480" s="5" t="s">
        <v>12751</v>
      </c>
      <c r="C13480" s="5" t="s">
        <v>11</v>
      </c>
      <c r="D13480" s="5" t="s">
        <v>12</v>
      </c>
      <c r="E13480" s="5" t="s">
        <v>3555</v>
      </c>
    </row>
    <row r="13481" spans="1:5" x14ac:dyDescent="0.25">
      <c r="A13481" s="5">
        <f>13473</f>
      </c>
      <c r="B13481" s="5" t="s">
        <v>12752</v>
      </c>
      <c r="C13481" s="5" t="s">
        <v>11</v>
      </c>
      <c r="D13481" s="5" t="s">
        <v>12</v>
      </c>
      <c r="E13481" s="5" t="s">
        <v>3555</v>
      </c>
    </row>
    <row r="13482" spans="1:5" x14ac:dyDescent="0.25">
      <c r="A13482" s="5">
        <f>13474</f>
      </c>
      <c r="B13482" s="5" t="s">
        <v>12753</v>
      </c>
      <c r="C13482" s="5" t="s">
        <v>11</v>
      </c>
      <c r="D13482" s="5" t="s">
        <v>12</v>
      </c>
      <c r="E13482" s="5" t="s">
        <v>3555</v>
      </c>
    </row>
    <row r="13483" spans="1:5" x14ac:dyDescent="0.25">
      <c r="A13483" s="5">
        <f>13475</f>
      </c>
      <c r="B13483" s="5" t="s">
        <v>12754</v>
      </c>
      <c r="C13483" s="5" t="s">
        <v>11</v>
      </c>
      <c r="D13483" s="5" t="s">
        <v>12</v>
      </c>
      <c r="E13483" s="5" t="s">
        <v>3555</v>
      </c>
    </row>
    <row r="13484" spans="1:5" x14ac:dyDescent="0.25">
      <c r="A13484" s="5">
        <f>13476</f>
      </c>
      <c r="B13484" s="5" t="s">
        <v>12755</v>
      </c>
      <c r="C13484" s="5" t="s">
        <v>11</v>
      </c>
      <c r="D13484" s="5" t="s">
        <v>12</v>
      </c>
      <c r="E13484" s="5" t="s">
        <v>3555</v>
      </c>
    </row>
    <row r="13485" spans="1:5" x14ac:dyDescent="0.25">
      <c r="A13485" s="5">
        <f>13477</f>
      </c>
      <c r="B13485" s="5" t="s">
        <v>12756</v>
      </c>
      <c r="C13485" s="5" t="s">
        <v>11</v>
      </c>
      <c r="D13485" s="5" t="s">
        <v>12</v>
      </c>
      <c r="E13485" s="5" t="s">
        <v>3555</v>
      </c>
    </row>
    <row r="13486" spans="1:5" x14ac:dyDescent="0.25">
      <c r="A13486" s="5">
        <f>13478</f>
      </c>
      <c r="B13486" s="5" t="s">
        <v>12757</v>
      </c>
      <c r="C13486" s="5" t="s">
        <v>11</v>
      </c>
      <c r="D13486" s="5" t="s">
        <v>12</v>
      </c>
      <c r="E13486" s="5" t="s">
        <v>3555</v>
      </c>
    </row>
    <row r="13487" spans="1:5" x14ac:dyDescent="0.25">
      <c r="A13487" s="5">
        <f>13479</f>
      </c>
      <c r="B13487" s="5" t="s">
        <v>12758</v>
      </c>
      <c r="C13487" s="5" t="s">
        <v>11</v>
      </c>
      <c r="D13487" s="5" t="s">
        <v>12</v>
      </c>
      <c r="E13487" s="5" t="s">
        <v>3555</v>
      </c>
    </row>
    <row r="13488" spans="1:5" x14ac:dyDescent="0.25">
      <c r="A13488" s="5">
        <f>13480</f>
      </c>
      <c r="B13488" s="5" t="s">
        <v>12759</v>
      </c>
      <c r="C13488" s="5" t="s">
        <v>11</v>
      </c>
      <c r="D13488" s="5" t="s">
        <v>12</v>
      </c>
      <c r="E13488" s="5" t="s">
        <v>3555</v>
      </c>
    </row>
    <row r="13489" spans="1:5" x14ac:dyDescent="0.25">
      <c r="A13489" s="5">
        <f>13481</f>
      </c>
      <c r="B13489" s="5" t="s">
        <v>12760</v>
      </c>
      <c r="C13489" s="5" t="s">
        <v>11</v>
      </c>
      <c r="D13489" s="5" t="s">
        <v>12</v>
      </c>
      <c r="E13489" s="5" t="s">
        <v>3555</v>
      </c>
    </row>
    <row r="13490" spans="1:5" x14ac:dyDescent="0.25">
      <c r="A13490" s="5">
        <f>13482</f>
      </c>
      <c r="B13490" s="5" t="s">
        <v>12761</v>
      </c>
      <c r="C13490" s="5" t="s">
        <v>11</v>
      </c>
      <c r="D13490" s="5" t="s">
        <v>12</v>
      </c>
      <c r="E13490" s="5" t="s">
        <v>3555</v>
      </c>
    </row>
    <row r="13491" spans="1:5" x14ac:dyDescent="0.25">
      <c r="A13491" s="5">
        <f>13483</f>
      </c>
      <c r="B13491" s="5" t="s">
        <v>12762</v>
      </c>
      <c r="C13491" s="5" t="s">
        <v>11</v>
      </c>
      <c r="D13491" s="5" t="s">
        <v>12</v>
      </c>
      <c r="E13491" s="5" t="s">
        <v>3555</v>
      </c>
    </row>
    <row r="13492" spans="1:5" x14ac:dyDescent="0.25">
      <c r="A13492" s="5">
        <f>13484</f>
      </c>
      <c r="B13492" s="5" t="s">
        <v>12763</v>
      </c>
      <c r="C13492" s="5" t="s">
        <v>11</v>
      </c>
      <c r="D13492" s="5" t="s">
        <v>12</v>
      </c>
      <c r="E13492" s="5" t="s">
        <v>3555</v>
      </c>
    </row>
    <row r="13493" spans="1:5" x14ac:dyDescent="0.25">
      <c r="A13493" s="5">
        <f>13485</f>
      </c>
      <c r="B13493" s="5" t="s">
        <v>12764</v>
      </c>
      <c r="C13493" s="5" t="s">
        <v>11</v>
      </c>
      <c r="D13493" s="5" t="s">
        <v>12</v>
      </c>
      <c r="E13493" s="5" t="s">
        <v>3555</v>
      </c>
    </row>
    <row r="13494" spans="1:5" x14ac:dyDescent="0.25">
      <c r="A13494" s="5">
        <f>13486</f>
      </c>
      <c r="B13494" s="5" t="s">
        <v>12765</v>
      </c>
      <c r="C13494" s="5" t="s">
        <v>11</v>
      </c>
      <c r="D13494" s="5" t="s">
        <v>12</v>
      </c>
      <c r="E13494" s="5" t="s">
        <v>3555</v>
      </c>
    </row>
    <row r="13495" spans="1:5" x14ac:dyDescent="0.25">
      <c r="A13495" s="5">
        <f>13487</f>
      </c>
      <c r="B13495" s="5" t="s">
        <v>12766</v>
      </c>
      <c r="C13495" s="5" t="s">
        <v>11</v>
      </c>
      <c r="D13495" s="5" t="s">
        <v>12</v>
      </c>
      <c r="E13495" s="5" t="s">
        <v>3555</v>
      </c>
    </row>
    <row r="13496" spans="1:5" x14ac:dyDescent="0.25">
      <c r="A13496" s="5">
        <f>13488</f>
      </c>
      <c r="B13496" s="5" t="s">
        <v>12767</v>
      </c>
      <c r="C13496" s="5" t="s">
        <v>11</v>
      </c>
      <c r="D13496" s="5" t="s">
        <v>12</v>
      </c>
      <c r="E13496" s="5" t="s">
        <v>3555</v>
      </c>
    </row>
    <row r="13497" spans="1:5" x14ac:dyDescent="0.25">
      <c r="A13497" s="5">
        <f>13489</f>
      </c>
      <c r="B13497" s="5" t="s">
        <v>12768</v>
      </c>
      <c r="C13497" s="5" t="s">
        <v>11</v>
      </c>
      <c r="D13497" s="5" t="s">
        <v>12</v>
      </c>
      <c r="E13497" s="5" t="s">
        <v>3555</v>
      </c>
    </row>
    <row r="13498" spans="1:5" x14ac:dyDescent="0.25">
      <c r="A13498" s="5">
        <f>13490</f>
      </c>
      <c r="B13498" s="5" t="s">
        <v>12769</v>
      </c>
      <c r="C13498" s="5" t="s">
        <v>11</v>
      </c>
      <c r="D13498" s="5" t="s">
        <v>12</v>
      </c>
      <c r="E13498" s="5" t="s">
        <v>3555</v>
      </c>
    </row>
    <row r="13499" spans="1:5" x14ac:dyDescent="0.25">
      <c r="A13499" s="5">
        <f>13491</f>
      </c>
      <c r="B13499" s="5" t="s">
        <v>12770</v>
      </c>
      <c r="C13499" s="5" t="s">
        <v>11</v>
      </c>
      <c r="D13499" s="5" t="s">
        <v>12</v>
      </c>
      <c r="E13499" s="5" t="s">
        <v>3555</v>
      </c>
    </row>
    <row r="13500" spans="1:5" x14ac:dyDescent="0.25">
      <c r="A13500" s="5">
        <f>13492</f>
      </c>
      <c r="B13500" s="5" t="s">
        <v>12771</v>
      </c>
      <c r="C13500" s="5" t="s">
        <v>11</v>
      </c>
      <c r="D13500" s="5" t="s">
        <v>12</v>
      </c>
      <c r="E13500" s="5" t="s">
        <v>3555</v>
      </c>
    </row>
    <row r="13501" spans="1:5" x14ac:dyDescent="0.25">
      <c r="A13501" s="5">
        <f>13493</f>
      </c>
      <c r="B13501" s="5" t="s">
        <v>12772</v>
      </c>
      <c r="C13501" s="5" t="s">
        <v>11</v>
      </c>
      <c r="D13501" s="5" t="s">
        <v>12</v>
      </c>
      <c r="E13501" s="5" t="s">
        <v>3555</v>
      </c>
    </row>
    <row r="13502" spans="1:5" x14ac:dyDescent="0.25">
      <c r="A13502" s="5">
        <f>13494</f>
      </c>
      <c r="B13502" s="5" t="s">
        <v>12773</v>
      </c>
      <c r="C13502" s="5" t="s">
        <v>11</v>
      </c>
      <c r="D13502" s="5" t="s">
        <v>12</v>
      </c>
      <c r="E13502" s="5" t="s">
        <v>3555</v>
      </c>
    </row>
    <row r="13503" spans="1:5" x14ac:dyDescent="0.25">
      <c r="A13503" s="5">
        <f>13495</f>
      </c>
      <c r="B13503" s="5" t="s">
        <v>12774</v>
      </c>
      <c r="C13503" s="5" t="s">
        <v>11</v>
      </c>
      <c r="D13503" s="5" t="s">
        <v>12</v>
      </c>
      <c r="E13503" s="5" t="s">
        <v>3555</v>
      </c>
    </row>
    <row r="13504" spans="1:5" x14ac:dyDescent="0.25">
      <c r="A13504" s="5">
        <f>13496</f>
      </c>
      <c r="B13504" s="5" t="s">
        <v>12775</v>
      </c>
      <c r="C13504" s="5" t="s">
        <v>11</v>
      </c>
      <c r="D13504" s="5" t="s">
        <v>12</v>
      </c>
      <c r="E13504" s="5" t="s">
        <v>3555</v>
      </c>
    </row>
    <row r="13505" spans="1:5" x14ac:dyDescent="0.25">
      <c r="A13505" s="5">
        <f>13497</f>
      </c>
      <c r="B13505" s="5" t="s">
        <v>12776</v>
      </c>
      <c r="C13505" s="5" t="s">
        <v>11</v>
      </c>
      <c r="D13505" s="5" t="s">
        <v>12</v>
      </c>
      <c r="E13505" s="5" t="s">
        <v>3555</v>
      </c>
    </row>
    <row r="13506" spans="1:5" x14ac:dyDescent="0.25">
      <c r="A13506" s="5">
        <f>13498</f>
      </c>
      <c r="B13506" s="5" t="s">
        <v>12777</v>
      </c>
      <c r="C13506" s="5" t="s">
        <v>11</v>
      </c>
      <c r="D13506" s="5" t="s">
        <v>12</v>
      </c>
      <c r="E13506" s="5" t="s">
        <v>3555</v>
      </c>
    </row>
    <row r="13507" spans="1:5" x14ac:dyDescent="0.25">
      <c r="A13507" s="5">
        <f>13499</f>
      </c>
      <c r="B13507" s="5" t="s">
        <v>12778</v>
      </c>
      <c r="C13507" s="5" t="s">
        <v>11</v>
      </c>
      <c r="D13507" s="5" t="s">
        <v>12</v>
      </c>
      <c r="E13507" s="5" t="s">
        <v>3555</v>
      </c>
    </row>
    <row r="13508" spans="1:5" x14ac:dyDescent="0.25">
      <c r="A13508" s="5">
        <f>13500</f>
      </c>
      <c r="B13508" s="5" t="s">
        <v>12779</v>
      </c>
      <c r="C13508" s="5" t="s">
        <v>11</v>
      </c>
      <c r="D13508" s="5" t="s">
        <v>12</v>
      </c>
      <c r="E13508" s="5" t="s">
        <v>3555</v>
      </c>
    </row>
    <row r="13509" spans="1:5" x14ac:dyDescent="0.25">
      <c r="A13509" s="5">
        <f>13501</f>
      </c>
      <c r="B13509" s="5" t="s">
        <v>12780</v>
      </c>
      <c r="C13509" s="5" t="s">
        <v>11</v>
      </c>
      <c r="D13509" s="5" t="s">
        <v>12</v>
      </c>
      <c r="E13509" s="5" t="s">
        <v>3555</v>
      </c>
    </row>
    <row r="13510" spans="1:5" x14ac:dyDescent="0.25">
      <c r="A13510" s="5">
        <f>13502</f>
      </c>
      <c r="B13510" s="5" t="s">
        <v>12781</v>
      </c>
      <c r="C13510" s="5" t="s">
        <v>11</v>
      </c>
      <c r="D13510" s="5" t="s">
        <v>12</v>
      </c>
      <c r="E13510" s="5" t="s">
        <v>3555</v>
      </c>
    </row>
    <row r="13511" spans="1:5" x14ac:dyDescent="0.25">
      <c r="A13511" s="5">
        <f>13503</f>
      </c>
      <c r="B13511" s="5" t="s">
        <v>12782</v>
      </c>
      <c r="C13511" s="5" t="s">
        <v>11</v>
      </c>
      <c r="D13511" s="5" t="s">
        <v>12</v>
      </c>
      <c r="E13511" s="5" t="s">
        <v>3555</v>
      </c>
    </row>
    <row r="13512" spans="1:5" x14ac:dyDescent="0.25">
      <c r="A13512" s="5">
        <f>13504</f>
      </c>
      <c r="B13512" s="5" t="s">
        <v>12783</v>
      </c>
      <c r="C13512" s="5" t="s">
        <v>11</v>
      </c>
      <c r="D13512" s="5" t="s">
        <v>12</v>
      </c>
      <c r="E13512" s="5" t="s">
        <v>3555</v>
      </c>
    </row>
    <row r="13513" spans="1:5" x14ac:dyDescent="0.25">
      <c r="A13513" s="5">
        <f>13505</f>
      </c>
      <c r="B13513" s="5" t="s">
        <v>12784</v>
      </c>
      <c r="C13513" s="5" t="s">
        <v>11</v>
      </c>
      <c r="D13513" s="5" t="s">
        <v>12</v>
      </c>
      <c r="E13513" s="5" t="s">
        <v>3555</v>
      </c>
    </row>
    <row r="13514" spans="1:5" x14ac:dyDescent="0.25">
      <c r="A13514" s="5">
        <f>13506</f>
      </c>
      <c r="B13514" s="5" t="s">
        <v>12785</v>
      </c>
      <c r="C13514" s="5" t="s">
        <v>11</v>
      </c>
      <c r="D13514" s="5" t="s">
        <v>12</v>
      </c>
      <c r="E13514" s="5" t="s">
        <v>3555</v>
      </c>
    </row>
    <row r="13515" spans="1:5" x14ac:dyDescent="0.25">
      <c r="A13515" s="5">
        <f>13507</f>
      </c>
      <c r="B13515" s="5" t="s">
        <v>12786</v>
      </c>
      <c r="C13515" s="5" t="s">
        <v>11</v>
      </c>
      <c r="D13515" s="5" t="s">
        <v>12</v>
      </c>
      <c r="E13515" s="5" t="s">
        <v>3555</v>
      </c>
    </row>
    <row r="13516" spans="1:5" x14ac:dyDescent="0.25">
      <c r="A13516" s="5">
        <f>13508</f>
      </c>
      <c r="B13516" s="5" t="s">
        <v>12787</v>
      </c>
      <c r="C13516" s="5" t="s">
        <v>11</v>
      </c>
      <c r="D13516" s="5" t="s">
        <v>12</v>
      </c>
      <c r="E13516" s="5" t="s">
        <v>3555</v>
      </c>
    </row>
    <row r="13517" spans="1:5" x14ac:dyDescent="0.25">
      <c r="A13517" s="5">
        <f>13509</f>
      </c>
      <c r="B13517" s="5" t="s">
        <v>12788</v>
      </c>
      <c r="C13517" s="5" t="s">
        <v>11</v>
      </c>
      <c r="D13517" s="5" t="s">
        <v>12</v>
      </c>
      <c r="E13517" s="5" t="s">
        <v>3555</v>
      </c>
    </row>
    <row r="13518" spans="1:5" x14ac:dyDescent="0.25">
      <c r="A13518" s="5">
        <f>13510</f>
      </c>
      <c r="B13518" s="5" t="s">
        <v>12789</v>
      </c>
      <c r="C13518" s="5" t="s">
        <v>11</v>
      </c>
      <c r="D13518" s="5" t="s">
        <v>12</v>
      </c>
      <c r="E13518" s="5" t="s">
        <v>3555</v>
      </c>
    </row>
    <row r="13519" spans="1:5" x14ac:dyDescent="0.25">
      <c r="A13519" s="5">
        <f>13511</f>
      </c>
      <c r="B13519" s="5" t="s">
        <v>12790</v>
      </c>
      <c r="C13519" s="5" t="s">
        <v>11</v>
      </c>
      <c r="D13519" s="5" t="s">
        <v>12</v>
      </c>
      <c r="E13519" s="5" t="s">
        <v>3555</v>
      </c>
    </row>
    <row r="13520" spans="1:5" x14ac:dyDescent="0.25">
      <c r="A13520" s="5">
        <f>13512</f>
      </c>
      <c r="B13520" s="5" t="s">
        <v>12791</v>
      </c>
      <c r="C13520" s="5" t="s">
        <v>11</v>
      </c>
      <c r="D13520" s="5" t="s">
        <v>12</v>
      </c>
      <c r="E13520" s="5" t="s">
        <v>3555</v>
      </c>
    </row>
    <row r="13521" spans="1:5" x14ac:dyDescent="0.25">
      <c r="A13521" s="5">
        <f>13513</f>
      </c>
      <c r="B13521" s="5" t="s">
        <v>12792</v>
      </c>
      <c r="C13521" s="5" t="s">
        <v>11</v>
      </c>
      <c r="D13521" s="5" t="s">
        <v>12</v>
      </c>
      <c r="E13521" s="5" t="s">
        <v>3555</v>
      </c>
    </row>
    <row r="13522" spans="1:5" x14ac:dyDescent="0.25">
      <c r="A13522" s="5">
        <f>13514</f>
      </c>
      <c r="B13522" s="5" t="s">
        <v>12793</v>
      </c>
      <c r="C13522" s="5" t="s">
        <v>11</v>
      </c>
      <c r="D13522" s="5" t="s">
        <v>12</v>
      </c>
      <c r="E13522" s="5" t="s">
        <v>3555</v>
      </c>
    </row>
    <row r="13523" spans="1:5" x14ac:dyDescent="0.25">
      <c r="A13523" s="5">
        <f>13515</f>
      </c>
      <c r="B13523" s="5" t="s">
        <v>12794</v>
      </c>
      <c r="C13523" s="5" t="s">
        <v>11</v>
      </c>
      <c r="D13523" s="5" t="s">
        <v>12</v>
      </c>
      <c r="E13523" s="5" t="s">
        <v>3555</v>
      </c>
    </row>
    <row r="13524" spans="1:5" x14ac:dyDescent="0.25">
      <c r="A13524" s="5">
        <f>13516</f>
      </c>
      <c r="B13524" s="5" t="s">
        <v>12795</v>
      </c>
      <c r="C13524" s="5" t="s">
        <v>11</v>
      </c>
      <c r="D13524" s="5" t="s">
        <v>12</v>
      </c>
      <c r="E13524" s="5" t="s">
        <v>3555</v>
      </c>
    </row>
    <row r="13525" spans="1:5" x14ac:dyDescent="0.25">
      <c r="A13525" s="5">
        <f>13517</f>
      </c>
      <c r="B13525" s="5" t="s">
        <v>12796</v>
      </c>
      <c r="C13525" s="5" t="s">
        <v>11</v>
      </c>
      <c r="D13525" s="5" t="s">
        <v>12</v>
      </c>
      <c r="E13525" s="5" t="s">
        <v>3555</v>
      </c>
    </row>
    <row r="13526" spans="1:5" x14ac:dyDescent="0.25">
      <c r="A13526" s="5">
        <f>13518</f>
      </c>
      <c r="B13526" s="5" t="s">
        <v>12797</v>
      </c>
      <c r="C13526" s="5" t="s">
        <v>11</v>
      </c>
      <c r="D13526" s="5" t="s">
        <v>12</v>
      </c>
      <c r="E13526" s="5" t="s">
        <v>3555</v>
      </c>
    </row>
    <row r="13527" spans="1:5" x14ac:dyDescent="0.25">
      <c r="A13527" s="5">
        <f>13519</f>
      </c>
      <c r="B13527" s="5" t="s">
        <v>12798</v>
      </c>
      <c r="C13527" s="5" t="s">
        <v>11</v>
      </c>
      <c r="D13527" s="5" t="s">
        <v>12</v>
      </c>
      <c r="E13527" s="5" t="s">
        <v>3555</v>
      </c>
    </row>
    <row r="13528" spans="1:5" x14ac:dyDescent="0.25">
      <c r="A13528" s="5">
        <f>13520</f>
      </c>
      <c r="B13528" s="5" t="s">
        <v>12799</v>
      </c>
      <c r="C13528" s="5" t="s">
        <v>11</v>
      </c>
      <c r="D13528" s="5" t="s">
        <v>12</v>
      </c>
      <c r="E13528" s="5" t="s">
        <v>3555</v>
      </c>
    </row>
    <row r="13529" spans="1:5" x14ac:dyDescent="0.25">
      <c r="A13529" s="5">
        <f>13521</f>
      </c>
      <c r="B13529" s="5" t="s">
        <v>12800</v>
      </c>
      <c r="C13529" s="5" t="s">
        <v>11</v>
      </c>
      <c r="D13529" s="5" t="s">
        <v>12</v>
      </c>
      <c r="E13529" s="5" t="s">
        <v>2873</v>
      </c>
    </row>
    <row r="13530" spans="1:5" x14ac:dyDescent="0.25">
      <c r="A13530" s="5">
        <f>13522</f>
      </c>
      <c r="B13530" s="5" t="s">
        <v>12801</v>
      </c>
      <c r="C13530" s="5" t="s">
        <v>11</v>
      </c>
      <c r="D13530" s="5" t="s">
        <v>12</v>
      </c>
      <c r="E13530" s="5" t="s">
        <v>2873</v>
      </c>
    </row>
    <row r="13531" spans="1:5" x14ac:dyDescent="0.25">
      <c r="A13531" s="5">
        <f>13523</f>
      </c>
      <c r="B13531" s="5" t="s">
        <v>12802</v>
      </c>
      <c r="C13531" s="5" t="s">
        <v>11</v>
      </c>
      <c r="D13531" s="5" t="s">
        <v>12</v>
      </c>
      <c r="E13531" s="5" t="s">
        <v>2873</v>
      </c>
    </row>
    <row r="13532" spans="1:5" x14ac:dyDescent="0.25">
      <c r="A13532" s="5">
        <f>13524</f>
      </c>
      <c r="B13532" s="5" t="s">
        <v>12803</v>
      </c>
      <c r="C13532" s="5" t="s">
        <v>11</v>
      </c>
      <c r="D13532" s="5" t="s">
        <v>12</v>
      </c>
      <c r="E13532" s="5" t="s">
        <v>2873</v>
      </c>
    </row>
    <row r="13533" spans="1:5" x14ac:dyDescent="0.25">
      <c r="A13533" s="5">
        <f>13525</f>
      </c>
      <c r="B13533" s="5" t="s">
        <v>12804</v>
      </c>
      <c r="C13533" s="5" t="s">
        <v>11</v>
      </c>
      <c r="D13533" s="5" t="s">
        <v>12</v>
      </c>
      <c r="E13533" s="5" t="s">
        <v>2873</v>
      </c>
    </row>
    <row r="13534" spans="1:5" x14ac:dyDescent="0.25">
      <c r="A13534" s="5">
        <f>13526</f>
      </c>
      <c r="B13534" s="5" t="s">
        <v>12805</v>
      </c>
      <c r="C13534" s="5" t="s">
        <v>11</v>
      </c>
      <c r="D13534" s="5" t="s">
        <v>12</v>
      </c>
      <c r="E13534" s="5" t="s">
        <v>2873</v>
      </c>
    </row>
    <row r="13535" spans="1:5" x14ac:dyDescent="0.25">
      <c r="A13535" s="5">
        <f>13527</f>
      </c>
      <c r="B13535" s="5" t="s">
        <v>12806</v>
      </c>
      <c r="C13535" s="5" t="s">
        <v>11</v>
      </c>
      <c r="D13535" s="5" t="s">
        <v>12</v>
      </c>
      <c r="E13535" s="5" t="s">
        <v>2873</v>
      </c>
    </row>
    <row r="13536" spans="1:5" x14ac:dyDescent="0.25">
      <c r="A13536" s="5">
        <f>13528</f>
      </c>
      <c r="B13536" s="5" t="s">
        <v>12807</v>
      </c>
      <c r="C13536" s="5" t="s">
        <v>11</v>
      </c>
      <c r="D13536" s="5" t="s">
        <v>12</v>
      </c>
      <c r="E13536" s="5" t="s">
        <v>2873</v>
      </c>
    </row>
    <row r="13537" spans="1:5" x14ac:dyDescent="0.25">
      <c r="A13537" s="5">
        <f>13529</f>
      </c>
      <c r="B13537" s="5" t="s">
        <v>12808</v>
      </c>
      <c r="C13537" s="5" t="s">
        <v>11</v>
      </c>
      <c r="D13537" s="5" t="s">
        <v>12</v>
      </c>
      <c r="E13537" s="5" t="s">
        <v>2873</v>
      </c>
    </row>
    <row r="13538" spans="1:5" x14ac:dyDescent="0.25">
      <c r="A13538" s="5">
        <f>13530</f>
      </c>
      <c r="B13538" s="5" t="s">
        <v>12809</v>
      </c>
      <c r="C13538" s="5" t="s">
        <v>11</v>
      </c>
      <c r="D13538" s="5" t="s">
        <v>12</v>
      </c>
      <c r="E13538" s="5" t="s">
        <v>2873</v>
      </c>
    </row>
    <row r="13539" spans="1:5" x14ac:dyDescent="0.25">
      <c r="A13539" s="5">
        <f>13531</f>
      </c>
      <c r="B13539" s="5" t="s">
        <v>12810</v>
      </c>
      <c r="C13539" s="5" t="s">
        <v>11</v>
      </c>
      <c r="D13539" s="5" t="s">
        <v>12</v>
      </c>
      <c r="E13539" s="5" t="s">
        <v>2873</v>
      </c>
    </row>
    <row r="13540" spans="1:5" x14ac:dyDescent="0.25">
      <c r="A13540" s="5">
        <f>13532</f>
      </c>
      <c r="B13540" s="5" t="s">
        <v>12811</v>
      </c>
      <c r="C13540" s="5" t="s">
        <v>11</v>
      </c>
      <c r="D13540" s="5" t="s">
        <v>12</v>
      </c>
      <c r="E13540" s="5" t="s">
        <v>2873</v>
      </c>
    </row>
    <row r="13541" spans="1:5" x14ac:dyDescent="0.25">
      <c r="A13541" s="5">
        <f>13533</f>
      </c>
      <c r="B13541" s="5" t="s">
        <v>12812</v>
      </c>
      <c r="C13541" s="5" t="s">
        <v>11</v>
      </c>
      <c r="D13541" s="5" t="s">
        <v>12</v>
      </c>
      <c r="E13541" s="5" t="s">
        <v>2873</v>
      </c>
    </row>
    <row r="13542" spans="1:5" x14ac:dyDescent="0.25">
      <c r="A13542" s="5">
        <f>13534</f>
      </c>
      <c r="B13542" s="5" t="s">
        <v>12813</v>
      </c>
      <c r="C13542" s="5" t="s">
        <v>11</v>
      </c>
      <c r="D13542" s="5" t="s">
        <v>12</v>
      </c>
      <c r="E13542" s="5" t="s">
        <v>2873</v>
      </c>
    </row>
    <row r="13543" spans="1:5" x14ac:dyDescent="0.25">
      <c r="A13543" s="5">
        <f>13535</f>
      </c>
      <c r="B13543" s="5" t="s">
        <v>12814</v>
      </c>
      <c r="C13543" s="5" t="s">
        <v>11</v>
      </c>
      <c r="D13543" s="5" t="s">
        <v>12</v>
      </c>
      <c r="E13543" s="5" t="s">
        <v>2873</v>
      </c>
    </row>
    <row r="13544" spans="1:5" x14ac:dyDescent="0.25">
      <c r="A13544" s="5">
        <f>13536</f>
      </c>
      <c r="B13544" s="5" t="s">
        <v>12815</v>
      </c>
      <c r="C13544" s="5" t="s">
        <v>11</v>
      </c>
      <c r="D13544" s="5" t="s">
        <v>12</v>
      </c>
      <c r="E13544" s="5" t="s">
        <v>2873</v>
      </c>
    </row>
    <row r="13545" spans="1:5" x14ac:dyDescent="0.25">
      <c r="A13545" s="5">
        <f>13537</f>
      </c>
      <c r="B13545" s="5" t="s">
        <v>12816</v>
      </c>
      <c r="C13545" s="5" t="s">
        <v>11</v>
      </c>
      <c r="D13545" s="5" t="s">
        <v>12</v>
      </c>
      <c r="E13545" s="5" t="s">
        <v>2873</v>
      </c>
    </row>
    <row r="13546" spans="1:5" x14ac:dyDescent="0.25">
      <c r="A13546" s="5">
        <f>13538</f>
      </c>
      <c r="B13546" s="5" t="s">
        <v>12817</v>
      </c>
      <c r="C13546" s="5" t="s">
        <v>11</v>
      </c>
      <c r="D13546" s="5" t="s">
        <v>12</v>
      </c>
      <c r="E13546" s="5" t="s">
        <v>2873</v>
      </c>
    </row>
    <row r="13547" spans="1:5" x14ac:dyDescent="0.25">
      <c r="A13547" s="5">
        <f>13539</f>
      </c>
      <c r="B13547" s="5" t="s">
        <v>12818</v>
      </c>
      <c r="C13547" s="5" t="s">
        <v>11</v>
      </c>
      <c r="D13547" s="5" t="s">
        <v>12</v>
      </c>
      <c r="E13547" s="5" t="s">
        <v>2873</v>
      </c>
    </row>
    <row r="13548" spans="1:5" x14ac:dyDescent="0.25">
      <c r="A13548" s="5">
        <f>13540</f>
      </c>
      <c r="B13548" s="5" t="s">
        <v>12819</v>
      </c>
      <c r="C13548" s="5" t="s">
        <v>11</v>
      </c>
      <c r="D13548" s="5" t="s">
        <v>12</v>
      </c>
      <c r="E13548" s="5" t="s">
        <v>2873</v>
      </c>
    </row>
    <row r="13549" spans="1:5" x14ac:dyDescent="0.25">
      <c r="A13549" s="5">
        <f>13541</f>
      </c>
      <c r="B13549" s="5" t="s">
        <v>12820</v>
      </c>
      <c r="C13549" s="5" t="s">
        <v>11</v>
      </c>
      <c r="D13549" s="5" t="s">
        <v>12</v>
      </c>
      <c r="E13549" s="5" t="s">
        <v>2873</v>
      </c>
    </row>
    <row r="13550" spans="1:5" x14ac:dyDescent="0.25">
      <c r="A13550" s="5">
        <f>13542</f>
      </c>
      <c r="B13550" s="5" t="s">
        <v>12821</v>
      </c>
      <c r="C13550" s="5" t="s">
        <v>11</v>
      </c>
      <c r="D13550" s="5" t="s">
        <v>12</v>
      </c>
      <c r="E13550" s="5" t="s">
        <v>2873</v>
      </c>
    </row>
    <row r="13551" spans="1:5" x14ac:dyDescent="0.25">
      <c r="A13551" s="5">
        <f>13543</f>
      </c>
      <c r="B13551" s="5" t="s">
        <v>12822</v>
      </c>
      <c r="C13551" s="5" t="s">
        <v>11</v>
      </c>
      <c r="D13551" s="5" t="s">
        <v>12</v>
      </c>
      <c r="E13551" s="5" t="s">
        <v>2873</v>
      </c>
    </row>
    <row r="13552" spans="1:5" x14ac:dyDescent="0.25">
      <c r="A13552" s="5">
        <f>13544</f>
      </c>
      <c r="B13552" s="5" t="s">
        <v>12823</v>
      </c>
      <c r="C13552" s="5" t="s">
        <v>11</v>
      </c>
      <c r="D13552" s="5" t="s">
        <v>12</v>
      </c>
      <c r="E13552" s="5" t="s">
        <v>2873</v>
      </c>
    </row>
    <row r="13553" spans="1:5" x14ac:dyDescent="0.25">
      <c r="A13553" s="5">
        <f>13545</f>
      </c>
      <c r="B13553" s="5" t="s">
        <v>12824</v>
      </c>
      <c r="C13553" s="5" t="s">
        <v>11</v>
      </c>
      <c r="D13553" s="5" t="s">
        <v>12</v>
      </c>
      <c r="E13553" s="5" t="s">
        <v>2873</v>
      </c>
    </row>
    <row r="13554" spans="1:5" x14ac:dyDescent="0.25">
      <c r="A13554" s="5">
        <f>13546</f>
      </c>
      <c r="B13554" s="5" t="s">
        <v>12825</v>
      </c>
      <c r="C13554" s="5" t="s">
        <v>11</v>
      </c>
      <c r="D13554" s="5" t="s">
        <v>12</v>
      </c>
      <c r="E13554" s="5" t="s">
        <v>2873</v>
      </c>
    </row>
    <row r="13555" spans="1:5" x14ac:dyDescent="0.25">
      <c r="A13555" s="5">
        <f>13547</f>
      </c>
      <c r="B13555" s="5" t="s">
        <v>12826</v>
      </c>
      <c r="C13555" s="5" t="s">
        <v>11</v>
      </c>
      <c r="D13555" s="5" t="s">
        <v>12</v>
      </c>
      <c r="E13555" s="5" t="s">
        <v>2873</v>
      </c>
    </row>
    <row r="13556" spans="1:5" x14ac:dyDescent="0.25">
      <c r="A13556" s="5">
        <f>13548</f>
      </c>
      <c r="B13556" s="5" t="s">
        <v>12827</v>
      </c>
      <c r="C13556" s="5" t="s">
        <v>11</v>
      </c>
      <c r="D13556" s="5" t="s">
        <v>12</v>
      </c>
      <c r="E13556" s="5" t="s">
        <v>2873</v>
      </c>
    </row>
    <row r="13557" spans="1:5" x14ac:dyDescent="0.25">
      <c r="A13557" s="5">
        <f>13549</f>
      </c>
      <c r="B13557" s="5" t="s">
        <v>12828</v>
      </c>
      <c r="C13557" s="5" t="s">
        <v>11</v>
      </c>
      <c r="D13557" s="5" t="s">
        <v>12</v>
      </c>
      <c r="E13557" s="5" t="s">
        <v>2873</v>
      </c>
    </row>
    <row r="13558" spans="1:5" x14ac:dyDescent="0.25">
      <c r="A13558" s="5">
        <f>13550</f>
      </c>
      <c r="B13558" s="5" t="s">
        <v>12829</v>
      </c>
      <c r="C13558" s="5" t="s">
        <v>11</v>
      </c>
      <c r="D13558" s="5" t="s">
        <v>12</v>
      </c>
      <c r="E13558" s="5" t="s">
        <v>2873</v>
      </c>
    </row>
    <row r="13559" spans="1:5" x14ac:dyDescent="0.25">
      <c r="A13559" s="5">
        <f>13551</f>
      </c>
      <c r="B13559" s="5" t="s">
        <v>12830</v>
      </c>
      <c r="C13559" s="5" t="s">
        <v>11</v>
      </c>
      <c r="D13559" s="5" t="s">
        <v>12</v>
      </c>
      <c r="E13559" s="5" t="s">
        <v>2873</v>
      </c>
    </row>
    <row r="13560" spans="1:5" x14ac:dyDescent="0.25">
      <c r="A13560" s="5">
        <f>13552</f>
      </c>
      <c r="B13560" s="5" t="s">
        <v>12831</v>
      </c>
      <c r="C13560" s="5" t="s">
        <v>11</v>
      </c>
      <c r="D13560" s="5" t="s">
        <v>12</v>
      </c>
      <c r="E13560" s="5" t="s">
        <v>2873</v>
      </c>
    </row>
    <row r="13561" spans="1:5" x14ac:dyDescent="0.25">
      <c r="A13561" s="5">
        <f>13553</f>
      </c>
      <c r="B13561" s="5" t="s">
        <v>12832</v>
      </c>
      <c r="C13561" s="5" t="s">
        <v>11</v>
      </c>
      <c r="D13561" s="5" t="s">
        <v>12</v>
      </c>
      <c r="E13561" s="5" t="s">
        <v>2873</v>
      </c>
    </row>
    <row r="13562" spans="1:5" x14ac:dyDescent="0.25">
      <c r="A13562" s="5">
        <f>13554</f>
      </c>
      <c r="B13562" s="5" t="s">
        <v>12833</v>
      </c>
      <c r="C13562" s="5" t="s">
        <v>11</v>
      </c>
      <c r="D13562" s="5" t="s">
        <v>12</v>
      </c>
      <c r="E13562" s="5" t="s">
        <v>2873</v>
      </c>
    </row>
    <row r="13563" spans="1:5" x14ac:dyDescent="0.25">
      <c r="A13563" s="5">
        <f>13555</f>
      </c>
      <c r="B13563" s="5" t="s">
        <v>12834</v>
      </c>
      <c r="C13563" s="5" t="s">
        <v>11</v>
      </c>
      <c r="D13563" s="5" t="s">
        <v>12</v>
      </c>
      <c r="E13563" s="5" t="s">
        <v>2873</v>
      </c>
    </row>
    <row r="13564" spans="1:5" x14ac:dyDescent="0.25">
      <c r="A13564" s="5">
        <f>13556</f>
      </c>
      <c r="B13564" s="5" t="s">
        <v>12835</v>
      </c>
      <c r="C13564" s="5" t="s">
        <v>11</v>
      </c>
      <c r="D13564" s="5" t="s">
        <v>12</v>
      </c>
      <c r="E13564" s="5" t="s">
        <v>2873</v>
      </c>
    </row>
    <row r="13565" spans="1:5" x14ac:dyDescent="0.25">
      <c r="A13565" s="5">
        <f>13557</f>
      </c>
      <c r="B13565" s="5" t="s">
        <v>12836</v>
      </c>
      <c r="C13565" s="5" t="s">
        <v>11</v>
      </c>
      <c r="D13565" s="5" t="s">
        <v>12</v>
      </c>
      <c r="E13565" s="5" t="s">
        <v>2873</v>
      </c>
    </row>
    <row r="13566" spans="1:5" x14ac:dyDescent="0.25">
      <c r="A13566" s="5">
        <f>13558</f>
      </c>
      <c r="B13566" s="5" t="s">
        <v>12837</v>
      </c>
      <c r="C13566" s="5" t="s">
        <v>11</v>
      </c>
      <c r="D13566" s="5" t="s">
        <v>12</v>
      </c>
      <c r="E13566" s="5" t="s">
        <v>2873</v>
      </c>
    </row>
    <row r="13567" spans="1:5" x14ac:dyDescent="0.25">
      <c r="A13567" s="5">
        <f>13559</f>
      </c>
      <c r="B13567" s="5" t="s">
        <v>12838</v>
      </c>
      <c r="C13567" s="5" t="s">
        <v>11</v>
      </c>
      <c r="D13567" s="5" t="s">
        <v>12</v>
      </c>
      <c r="E13567" s="5" t="s">
        <v>2873</v>
      </c>
    </row>
    <row r="13568" spans="1:5" x14ac:dyDescent="0.25">
      <c r="A13568" s="5">
        <f>13560</f>
      </c>
      <c r="B13568" s="5" t="s">
        <v>12839</v>
      </c>
      <c r="C13568" s="5" t="s">
        <v>11</v>
      </c>
      <c r="D13568" s="5" t="s">
        <v>12</v>
      </c>
      <c r="E13568" s="5" t="s">
        <v>2873</v>
      </c>
    </row>
    <row r="13569" spans="1:5" x14ac:dyDescent="0.25">
      <c r="A13569" s="5">
        <f>13561</f>
      </c>
      <c r="B13569" s="5" t="s">
        <v>12840</v>
      </c>
      <c r="C13569" s="5" t="s">
        <v>11</v>
      </c>
      <c r="D13569" s="5" t="s">
        <v>12</v>
      </c>
      <c r="E13569" s="5" t="s">
        <v>2873</v>
      </c>
    </row>
    <row r="13570" spans="1:5" x14ac:dyDescent="0.25">
      <c r="A13570" s="5">
        <f>13562</f>
      </c>
      <c r="B13570" s="5" t="s">
        <v>12841</v>
      </c>
      <c r="C13570" s="5" t="s">
        <v>11</v>
      </c>
      <c r="D13570" s="5" t="s">
        <v>12</v>
      </c>
      <c r="E13570" s="5" t="s">
        <v>2873</v>
      </c>
    </row>
    <row r="13571" spans="1:5" x14ac:dyDescent="0.25">
      <c r="A13571" s="5">
        <f>13563</f>
      </c>
      <c r="B13571" s="5" t="s">
        <v>12842</v>
      </c>
      <c r="C13571" s="5" t="s">
        <v>11</v>
      </c>
      <c r="D13571" s="5" t="s">
        <v>12</v>
      </c>
      <c r="E13571" s="5" t="s">
        <v>2873</v>
      </c>
    </row>
    <row r="13572" spans="1:5" x14ac:dyDescent="0.25">
      <c r="A13572" s="5">
        <f>13564</f>
      </c>
      <c r="B13572" s="5" t="s">
        <v>12843</v>
      </c>
      <c r="C13572" s="5" t="s">
        <v>11</v>
      </c>
      <c r="D13572" s="5" t="s">
        <v>12</v>
      </c>
      <c r="E13572" s="5" t="s">
        <v>2873</v>
      </c>
    </row>
    <row r="13573" spans="1:5" x14ac:dyDescent="0.25">
      <c r="A13573" s="5">
        <f>13565</f>
      </c>
      <c r="B13573" s="5" t="s">
        <v>12844</v>
      </c>
      <c r="C13573" s="5" t="s">
        <v>11</v>
      </c>
      <c r="D13573" s="5" t="s">
        <v>12</v>
      </c>
      <c r="E13573" s="5" t="s">
        <v>2873</v>
      </c>
    </row>
    <row r="13574" spans="1:5" x14ac:dyDescent="0.25">
      <c r="A13574" s="5">
        <f>13566</f>
      </c>
      <c r="B13574" s="5" t="s">
        <v>12845</v>
      </c>
      <c r="C13574" s="5" t="s">
        <v>11</v>
      </c>
      <c r="D13574" s="5" t="s">
        <v>12</v>
      </c>
      <c r="E13574" s="5" t="s">
        <v>2873</v>
      </c>
    </row>
    <row r="13575" spans="1:5" x14ac:dyDescent="0.25">
      <c r="A13575" s="5">
        <f>13567</f>
      </c>
      <c r="B13575" s="5" t="s">
        <v>12846</v>
      </c>
      <c r="C13575" s="5" t="s">
        <v>11</v>
      </c>
      <c r="D13575" s="5" t="s">
        <v>12</v>
      </c>
      <c r="E13575" s="5" t="s">
        <v>2873</v>
      </c>
    </row>
    <row r="13576" spans="1:5" x14ac:dyDescent="0.25">
      <c r="A13576" s="5">
        <f>13568</f>
      </c>
      <c r="B13576" s="5" t="s">
        <v>12847</v>
      </c>
      <c r="C13576" s="5" t="s">
        <v>11</v>
      </c>
      <c r="D13576" s="5" t="s">
        <v>12</v>
      </c>
      <c r="E13576" s="5" t="s">
        <v>2873</v>
      </c>
    </row>
    <row r="13577" spans="1:5" x14ac:dyDescent="0.25">
      <c r="A13577" s="5">
        <f>13569</f>
      </c>
      <c r="B13577" s="5" t="s">
        <v>12848</v>
      </c>
      <c r="C13577" s="5" t="s">
        <v>11</v>
      </c>
      <c r="D13577" s="5" t="s">
        <v>12</v>
      </c>
      <c r="E13577" s="5" t="s">
        <v>2873</v>
      </c>
    </row>
    <row r="13578" spans="1:5" x14ac:dyDescent="0.25">
      <c r="A13578" s="5">
        <f>13570</f>
      </c>
      <c r="B13578" s="5" t="s">
        <v>12849</v>
      </c>
      <c r="C13578" s="5" t="s">
        <v>11</v>
      </c>
      <c r="D13578" s="5" t="s">
        <v>12</v>
      </c>
      <c r="E13578" s="5" t="s">
        <v>2873</v>
      </c>
    </row>
    <row r="13579" spans="1:5" x14ac:dyDescent="0.25">
      <c r="A13579" s="5">
        <f>13571</f>
      </c>
      <c r="B13579" s="5" t="s">
        <v>12850</v>
      </c>
      <c r="C13579" s="5" t="s">
        <v>11</v>
      </c>
      <c r="D13579" s="5" t="s">
        <v>12</v>
      </c>
      <c r="E13579" s="5" t="s">
        <v>2873</v>
      </c>
    </row>
    <row r="13580" spans="1:5" x14ac:dyDescent="0.25">
      <c r="A13580" s="5">
        <f>13572</f>
      </c>
      <c r="B13580" s="5" t="s">
        <v>12851</v>
      </c>
      <c r="C13580" s="5" t="s">
        <v>11</v>
      </c>
      <c r="D13580" s="5" t="s">
        <v>12</v>
      </c>
      <c r="E13580" s="5" t="s">
        <v>2873</v>
      </c>
    </row>
    <row r="13581" spans="1:5" x14ac:dyDescent="0.25">
      <c r="A13581" s="5">
        <f>13573</f>
      </c>
      <c r="B13581" s="5" t="s">
        <v>12852</v>
      </c>
      <c r="C13581" s="5" t="s">
        <v>11</v>
      </c>
      <c r="D13581" s="5" t="s">
        <v>12</v>
      </c>
      <c r="E13581" s="5" t="s">
        <v>2873</v>
      </c>
    </row>
    <row r="13582" spans="1:5" x14ac:dyDescent="0.25">
      <c r="A13582" s="5">
        <f>13574</f>
      </c>
      <c r="B13582" s="5" t="s">
        <v>12853</v>
      </c>
      <c r="C13582" s="5" t="s">
        <v>11</v>
      </c>
      <c r="D13582" s="5" t="s">
        <v>12</v>
      </c>
      <c r="E13582" s="5" t="s">
        <v>2873</v>
      </c>
    </row>
    <row r="13583" spans="1:5" x14ac:dyDescent="0.25">
      <c r="A13583" s="5">
        <f>13575</f>
      </c>
      <c r="B13583" s="5" t="s">
        <v>12854</v>
      </c>
      <c r="C13583" s="5" t="s">
        <v>11</v>
      </c>
      <c r="D13583" s="5" t="s">
        <v>12</v>
      </c>
      <c r="E13583" s="5" t="s">
        <v>2873</v>
      </c>
    </row>
    <row r="13584" spans="1:5" x14ac:dyDescent="0.25">
      <c r="A13584" s="5">
        <f>13576</f>
      </c>
      <c r="B13584" s="5" t="s">
        <v>12855</v>
      </c>
      <c r="C13584" s="5" t="s">
        <v>11</v>
      </c>
      <c r="D13584" s="5" t="s">
        <v>12</v>
      </c>
      <c r="E13584" s="5" t="s">
        <v>2873</v>
      </c>
    </row>
    <row r="13585" spans="1:5" x14ac:dyDescent="0.25">
      <c r="A13585" s="5">
        <f>13577</f>
      </c>
      <c r="B13585" s="5" t="s">
        <v>12856</v>
      </c>
      <c r="C13585" s="5" t="s">
        <v>11</v>
      </c>
      <c r="D13585" s="5" t="s">
        <v>12</v>
      </c>
      <c r="E13585" s="5" t="s">
        <v>2873</v>
      </c>
    </row>
    <row r="13586" spans="1:5" x14ac:dyDescent="0.25">
      <c r="A13586" s="5">
        <f>13578</f>
      </c>
      <c r="B13586" s="5" t="s">
        <v>12857</v>
      </c>
      <c r="C13586" s="5" t="s">
        <v>11</v>
      </c>
      <c r="D13586" s="5" t="s">
        <v>12</v>
      </c>
      <c r="E13586" s="5" t="s">
        <v>2873</v>
      </c>
    </row>
    <row r="13587" spans="1:5" x14ac:dyDescent="0.25">
      <c r="A13587" s="5">
        <f>13579</f>
      </c>
      <c r="B13587" s="5" t="s">
        <v>12858</v>
      </c>
      <c r="C13587" s="5" t="s">
        <v>11</v>
      </c>
      <c r="D13587" s="5" t="s">
        <v>12</v>
      </c>
      <c r="E13587" s="5" t="s">
        <v>2873</v>
      </c>
    </row>
    <row r="13588" spans="1:5" x14ac:dyDescent="0.25">
      <c r="A13588" s="5">
        <f>13580</f>
      </c>
      <c r="B13588" s="5" t="s">
        <v>12859</v>
      </c>
      <c r="C13588" s="5" t="s">
        <v>11</v>
      </c>
      <c r="D13588" s="5" t="s">
        <v>12</v>
      </c>
      <c r="E13588" s="5" t="s">
        <v>2873</v>
      </c>
    </row>
    <row r="13589" spans="1:5" x14ac:dyDescent="0.25">
      <c r="A13589" s="5">
        <f>13581</f>
      </c>
      <c r="B13589" s="5" t="s">
        <v>12860</v>
      </c>
      <c r="C13589" s="5" t="s">
        <v>11</v>
      </c>
      <c r="D13589" s="5" t="s">
        <v>12</v>
      </c>
      <c r="E13589" s="5" t="s">
        <v>2873</v>
      </c>
    </row>
    <row r="13590" spans="1:5" x14ac:dyDescent="0.25">
      <c r="A13590" s="5">
        <f>13582</f>
      </c>
      <c r="B13590" s="5" t="s">
        <v>12861</v>
      </c>
      <c r="C13590" s="5" t="s">
        <v>11</v>
      </c>
      <c r="D13590" s="5" t="s">
        <v>12</v>
      </c>
      <c r="E13590" s="5" t="s">
        <v>2873</v>
      </c>
    </row>
    <row r="13591" spans="1:5" x14ac:dyDescent="0.25">
      <c r="A13591" s="5">
        <f>13583</f>
      </c>
      <c r="B13591" s="5" t="s">
        <v>12862</v>
      </c>
      <c r="C13591" s="5" t="s">
        <v>11</v>
      </c>
      <c r="D13591" s="5" t="s">
        <v>12</v>
      </c>
      <c r="E13591" s="5" t="s">
        <v>2873</v>
      </c>
    </row>
    <row r="13592" spans="1:5" x14ac:dyDescent="0.25">
      <c r="A13592" s="5">
        <f>13584</f>
      </c>
      <c r="B13592" s="5" t="s">
        <v>12863</v>
      </c>
      <c r="C13592" s="5" t="s">
        <v>11</v>
      </c>
      <c r="D13592" s="5" t="s">
        <v>12</v>
      </c>
      <c r="E13592" s="5" t="s">
        <v>2873</v>
      </c>
    </row>
    <row r="13593" spans="1:5" x14ac:dyDescent="0.25">
      <c r="A13593" s="5">
        <f>13585</f>
      </c>
      <c r="B13593" s="5" t="s">
        <v>12864</v>
      </c>
      <c r="C13593" s="5" t="s">
        <v>11</v>
      </c>
      <c r="D13593" s="5" t="s">
        <v>12</v>
      </c>
      <c r="E13593" s="5" t="s">
        <v>2873</v>
      </c>
    </row>
    <row r="13594" spans="1:5" x14ac:dyDescent="0.25">
      <c r="A13594" s="5">
        <f>13586</f>
      </c>
      <c r="B13594" s="5" t="s">
        <v>12865</v>
      </c>
      <c r="C13594" s="5" t="s">
        <v>11</v>
      </c>
      <c r="D13594" s="5" t="s">
        <v>12</v>
      </c>
      <c r="E13594" s="5" t="s">
        <v>2873</v>
      </c>
    </row>
    <row r="13595" spans="1:5" x14ac:dyDescent="0.25">
      <c r="A13595" s="5">
        <f>13587</f>
      </c>
      <c r="B13595" s="5" t="s">
        <v>12866</v>
      </c>
      <c r="C13595" s="5" t="s">
        <v>11</v>
      </c>
      <c r="D13595" s="5" t="s">
        <v>12</v>
      </c>
      <c r="E13595" s="5" t="s">
        <v>2873</v>
      </c>
    </row>
    <row r="13596" spans="1:5" x14ac:dyDescent="0.25">
      <c r="A13596" s="5">
        <f>13588</f>
      </c>
      <c r="B13596" s="5" t="s">
        <v>12867</v>
      </c>
      <c r="C13596" s="5" t="s">
        <v>11</v>
      </c>
      <c r="D13596" s="5" t="s">
        <v>12</v>
      </c>
      <c r="E13596" s="5" t="s">
        <v>2873</v>
      </c>
    </row>
    <row r="13597" spans="1:5" x14ac:dyDescent="0.25">
      <c r="A13597" s="5">
        <f>13589</f>
      </c>
      <c r="B13597" s="5" t="s">
        <v>12868</v>
      </c>
      <c r="C13597" s="5" t="s">
        <v>11</v>
      </c>
      <c r="D13597" s="5" t="s">
        <v>12</v>
      </c>
      <c r="E13597" s="5" t="s">
        <v>2873</v>
      </c>
    </row>
    <row r="13598" spans="1:5" x14ac:dyDescent="0.25">
      <c r="A13598" s="5">
        <f>13590</f>
      </c>
      <c r="B13598" s="5" t="s">
        <v>12869</v>
      </c>
      <c r="C13598" s="5" t="s">
        <v>11</v>
      </c>
      <c r="D13598" s="5" t="s">
        <v>12</v>
      </c>
      <c r="E13598" s="5" t="s">
        <v>2873</v>
      </c>
    </row>
    <row r="13599" spans="1:5" x14ac:dyDescent="0.25">
      <c r="A13599" s="5">
        <f>13591</f>
      </c>
      <c r="B13599" s="5" t="s">
        <v>12870</v>
      </c>
      <c r="C13599" s="5" t="s">
        <v>11</v>
      </c>
      <c r="D13599" s="5" t="s">
        <v>12</v>
      </c>
      <c r="E13599" s="5" t="s">
        <v>2873</v>
      </c>
    </row>
    <row r="13600" spans="1:5" x14ac:dyDescent="0.25">
      <c r="A13600" s="5">
        <f>13592</f>
      </c>
      <c r="B13600" s="5" t="s">
        <v>12871</v>
      </c>
      <c r="C13600" s="5" t="s">
        <v>11</v>
      </c>
      <c r="D13600" s="5" t="s">
        <v>12</v>
      </c>
      <c r="E13600" s="5" t="s">
        <v>2873</v>
      </c>
    </row>
    <row r="13601" spans="1:5" x14ac:dyDescent="0.25">
      <c r="A13601" s="5">
        <f>13593</f>
      </c>
      <c r="B13601" s="5" t="s">
        <v>12872</v>
      </c>
      <c r="C13601" s="5" t="s">
        <v>11</v>
      </c>
      <c r="D13601" s="5" t="s">
        <v>12</v>
      </c>
      <c r="E13601" s="5" t="s">
        <v>2873</v>
      </c>
    </row>
    <row r="13602" spans="1:5" x14ac:dyDescent="0.25">
      <c r="A13602" s="5">
        <f>13594</f>
      </c>
      <c r="B13602" s="5" t="s">
        <v>12873</v>
      </c>
      <c r="C13602" s="5" t="s">
        <v>11</v>
      </c>
      <c r="D13602" s="5" t="s">
        <v>12</v>
      </c>
      <c r="E13602" s="5" t="s">
        <v>2873</v>
      </c>
    </row>
    <row r="13603" spans="1:5" x14ac:dyDescent="0.25">
      <c r="A13603" s="5">
        <f>13595</f>
      </c>
      <c r="B13603" s="5" t="s">
        <v>12874</v>
      </c>
      <c r="C13603" s="5" t="s">
        <v>11</v>
      </c>
      <c r="D13603" s="5" t="s">
        <v>12</v>
      </c>
      <c r="E13603" s="5" t="s">
        <v>2873</v>
      </c>
    </row>
    <row r="13604" spans="1:5" x14ac:dyDescent="0.25">
      <c r="A13604" s="5">
        <f>13596</f>
      </c>
      <c r="B13604" s="5" t="s">
        <v>12875</v>
      </c>
      <c r="C13604" s="5" t="s">
        <v>11</v>
      </c>
      <c r="D13604" s="5" t="s">
        <v>12</v>
      </c>
      <c r="E13604" s="5" t="s">
        <v>2873</v>
      </c>
    </row>
    <row r="13605" spans="1:5" x14ac:dyDescent="0.25">
      <c r="A13605" s="5">
        <f>13597</f>
      </c>
      <c r="B13605" s="5" t="s">
        <v>12876</v>
      </c>
      <c r="C13605" s="5" t="s">
        <v>11</v>
      </c>
      <c r="D13605" s="5" t="s">
        <v>12</v>
      </c>
      <c r="E13605" s="5" t="s">
        <v>2873</v>
      </c>
    </row>
    <row r="13606" spans="1:5" x14ac:dyDescent="0.25">
      <c r="A13606" s="5">
        <f>13598</f>
      </c>
      <c r="B13606" s="5" t="s">
        <v>12877</v>
      </c>
      <c r="C13606" s="5" t="s">
        <v>11</v>
      </c>
      <c r="D13606" s="5" t="s">
        <v>12</v>
      </c>
      <c r="E13606" s="5" t="s">
        <v>2873</v>
      </c>
    </row>
    <row r="13607" spans="1:5" x14ac:dyDescent="0.25">
      <c r="A13607" s="5">
        <f>13599</f>
      </c>
      <c r="B13607" s="5" t="s">
        <v>12878</v>
      </c>
      <c r="C13607" s="5" t="s">
        <v>11</v>
      </c>
      <c r="D13607" s="5" t="s">
        <v>12</v>
      </c>
      <c r="E13607" s="5" t="s">
        <v>2873</v>
      </c>
    </row>
    <row r="13608" spans="1:5" x14ac:dyDescent="0.25">
      <c r="A13608" s="5">
        <f>13600</f>
      </c>
      <c r="B13608" s="5" t="s">
        <v>12879</v>
      </c>
      <c r="C13608" s="5" t="s">
        <v>11</v>
      </c>
      <c r="D13608" s="5" t="s">
        <v>12</v>
      </c>
      <c r="E13608" s="5" t="s">
        <v>2873</v>
      </c>
    </row>
    <row r="13609" spans="1:5" x14ac:dyDescent="0.25">
      <c r="A13609" s="5">
        <f>13601</f>
      </c>
      <c r="B13609" s="5" t="s">
        <v>12880</v>
      </c>
      <c r="C13609" s="5" t="s">
        <v>11</v>
      </c>
      <c r="D13609" s="5" t="s">
        <v>12</v>
      </c>
      <c r="E13609" s="5" t="s">
        <v>2873</v>
      </c>
    </row>
    <row r="13610" spans="1:5" x14ac:dyDescent="0.25">
      <c r="A13610" s="5">
        <f>13602</f>
      </c>
      <c r="B13610" s="5" t="s">
        <v>12881</v>
      </c>
      <c r="C13610" s="5" t="s">
        <v>11</v>
      </c>
      <c r="D13610" s="5" t="s">
        <v>12</v>
      </c>
      <c r="E13610" s="5" t="s">
        <v>3430</v>
      </c>
    </row>
    <row r="13611" spans="1:5" x14ac:dyDescent="0.25">
      <c r="A13611" s="5">
        <f>13603</f>
      </c>
      <c r="B13611" s="5" t="s">
        <v>12882</v>
      </c>
      <c r="C13611" s="5" t="s">
        <v>11</v>
      </c>
      <c r="D13611" s="5" t="s">
        <v>12</v>
      </c>
      <c r="E13611" s="5" t="s">
        <v>3430</v>
      </c>
    </row>
    <row r="13612" spans="1:5" x14ac:dyDescent="0.25">
      <c r="A13612" s="5">
        <f>13604</f>
      </c>
      <c r="B13612" s="5" t="s">
        <v>12883</v>
      </c>
      <c r="C13612" s="5" t="s">
        <v>11</v>
      </c>
      <c r="D13612" s="5" t="s">
        <v>12</v>
      </c>
      <c r="E13612" s="5" t="s">
        <v>3430</v>
      </c>
    </row>
    <row r="13613" spans="1:5" x14ac:dyDescent="0.25">
      <c r="A13613" s="5">
        <f>13605</f>
      </c>
      <c r="B13613" s="5" t="s">
        <v>12884</v>
      </c>
      <c r="C13613" s="5" t="s">
        <v>11</v>
      </c>
      <c r="D13613" s="5" t="s">
        <v>12</v>
      </c>
      <c r="E13613" s="5" t="s">
        <v>3430</v>
      </c>
    </row>
    <row r="13614" spans="1:5" x14ac:dyDescent="0.25">
      <c r="A13614" s="5">
        <f>13606</f>
      </c>
      <c r="B13614" s="5" t="s">
        <v>12885</v>
      </c>
      <c r="C13614" s="5" t="s">
        <v>11</v>
      </c>
      <c r="D13614" s="5" t="s">
        <v>12</v>
      </c>
      <c r="E13614" s="5" t="s">
        <v>3430</v>
      </c>
    </row>
    <row r="13615" spans="1:5" x14ac:dyDescent="0.25">
      <c r="A13615" s="5">
        <f>13607</f>
      </c>
      <c r="B13615" s="5" t="s">
        <v>12886</v>
      </c>
      <c r="C13615" s="5" t="s">
        <v>11</v>
      </c>
      <c r="D13615" s="5" t="s">
        <v>12</v>
      </c>
      <c r="E13615" s="5" t="s">
        <v>3430</v>
      </c>
    </row>
    <row r="13616" spans="1:5" x14ac:dyDescent="0.25">
      <c r="A13616" s="5">
        <f>13608</f>
      </c>
      <c r="B13616" s="5" t="s">
        <v>12887</v>
      </c>
      <c r="C13616" s="5" t="s">
        <v>11</v>
      </c>
      <c r="D13616" s="5" t="s">
        <v>12</v>
      </c>
      <c r="E13616" s="5" t="s">
        <v>3430</v>
      </c>
    </row>
    <row r="13617" spans="1:5" x14ac:dyDescent="0.25">
      <c r="A13617" s="5">
        <f>13609</f>
      </c>
      <c r="B13617" s="5" t="s">
        <v>12888</v>
      </c>
      <c r="C13617" s="5" t="s">
        <v>11</v>
      </c>
      <c r="D13617" s="5" t="s">
        <v>12</v>
      </c>
      <c r="E13617" s="5" t="s">
        <v>3430</v>
      </c>
    </row>
    <row r="13618" spans="1:5" x14ac:dyDescent="0.25">
      <c r="A13618" s="5">
        <f>13610</f>
      </c>
      <c r="B13618" s="5" t="s">
        <v>12889</v>
      </c>
      <c r="C13618" s="5" t="s">
        <v>11</v>
      </c>
      <c r="D13618" s="5" t="s">
        <v>12</v>
      </c>
      <c r="E13618" s="5" t="s">
        <v>3430</v>
      </c>
    </row>
    <row r="13619" spans="1:5" x14ac:dyDescent="0.25">
      <c r="A13619" s="5">
        <f>13611</f>
      </c>
      <c r="B13619" s="5" t="s">
        <v>12890</v>
      </c>
      <c r="C13619" s="5" t="s">
        <v>11</v>
      </c>
      <c r="D13619" s="5" t="s">
        <v>12</v>
      </c>
      <c r="E13619" s="5" t="s">
        <v>3430</v>
      </c>
    </row>
    <row r="13620" spans="1:5" x14ac:dyDescent="0.25">
      <c r="A13620" s="5">
        <f>13612</f>
      </c>
      <c r="B13620" s="5" t="s">
        <v>12891</v>
      </c>
      <c r="C13620" s="5" t="s">
        <v>11</v>
      </c>
      <c r="D13620" s="5" t="s">
        <v>12</v>
      </c>
      <c r="E13620" s="5" t="s">
        <v>3430</v>
      </c>
    </row>
    <row r="13621" spans="1:5" x14ac:dyDescent="0.25">
      <c r="A13621" s="5">
        <f>13613</f>
      </c>
      <c r="B13621" s="5" t="s">
        <v>12892</v>
      </c>
      <c r="C13621" s="5" t="s">
        <v>11</v>
      </c>
      <c r="D13621" s="5" t="s">
        <v>12</v>
      </c>
      <c r="E13621" s="5" t="s">
        <v>3430</v>
      </c>
    </row>
    <row r="13622" spans="1:5" x14ac:dyDescent="0.25">
      <c r="A13622" s="5">
        <f>13614</f>
      </c>
      <c r="B13622" s="5" t="s">
        <v>12893</v>
      </c>
      <c r="C13622" s="5" t="s">
        <v>11</v>
      </c>
      <c r="D13622" s="5" t="s">
        <v>12</v>
      </c>
      <c r="E13622" s="5" t="s">
        <v>3430</v>
      </c>
    </row>
    <row r="13623" spans="1:5" x14ac:dyDescent="0.25">
      <c r="A13623" s="5">
        <f>13615</f>
      </c>
      <c r="B13623" s="5" t="s">
        <v>12894</v>
      </c>
      <c r="C13623" s="5" t="s">
        <v>11</v>
      </c>
      <c r="D13623" s="5" t="s">
        <v>12</v>
      </c>
      <c r="E13623" s="5" t="s">
        <v>3430</v>
      </c>
    </row>
    <row r="13624" spans="1:5" x14ac:dyDescent="0.25">
      <c r="A13624" s="5">
        <f>13616</f>
      </c>
      <c r="B13624" s="5" t="s">
        <v>12895</v>
      </c>
      <c r="C13624" s="5" t="s">
        <v>11</v>
      </c>
      <c r="D13624" s="5" t="s">
        <v>12</v>
      </c>
      <c r="E13624" s="5" t="s">
        <v>3430</v>
      </c>
    </row>
    <row r="13625" spans="1:5" x14ac:dyDescent="0.25">
      <c r="A13625" s="5">
        <f>13617</f>
      </c>
      <c r="B13625" s="5" t="s">
        <v>12896</v>
      </c>
      <c r="C13625" s="5" t="s">
        <v>11</v>
      </c>
      <c r="D13625" s="5" t="s">
        <v>12</v>
      </c>
      <c r="E13625" s="5" t="s">
        <v>3430</v>
      </c>
    </row>
    <row r="13626" spans="1:5" x14ac:dyDescent="0.25">
      <c r="A13626" s="5">
        <f>13618</f>
      </c>
      <c r="B13626" s="5" t="s">
        <v>12897</v>
      </c>
      <c r="C13626" s="5" t="s">
        <v>11</v>
      </c>
      <c r="D13626" s="5" t="s">
        <v>12</v>
      </c>
      <c r="E13626" s="5" t="s">
        <v>3430</v>
      </c>
    </row>
    <row r="13627" spans="1:5" x14ac:dyDescent="0.25">
      <c r="A13627" s="5">
        <f>13619</f>
      </c>
      <c r="B13627" s="5" t="s">
        <v>12898</v>
      </c>
      <c r="C13627" s="5" t="s">
        <v>11</v>
      </c>
      <c r="D13627" s="5" t="s">
        <v>12</v>
      </c>
      <c r="E13627" s="5" t="s">
        <v>3430</v>
      </c>
    </row>
    <row r="13628" spans="1:5" x14ac:dyDescent="0.25">
      <c r="A13628" s="5">
        <f>13620</f>
      </c>
      <c r="B13628" s="5" t="s">
        <v>12899</v>
      </c>
      <c r="C13628" s="5" t="s">
        <v>11</v>
      </c>
      <c r="D13628" s="5" t="s">
        <v>12</v>
      </c>
      <c r="E13628" s="5" t="s">
        <v>3430</v>
      </c>
    </row>
    <row r="13629" spans="1:5" x14ac:dyDescent="0.25">
      <c r="A13629" s="5">
        <f>13621</f>
      </c>
      <c r="B13629" s="5" t="s">
        <v>12900</v>
      </c>
      <c r="C13629" s="5" t="s">
        <v>11</v>
      </c>
      <c r="D13629" s="5" t="s">
        <v>12</v>
      </c>
      <c r="E13629" s="5" t="s">
        <v>3430</v>
      </c>
    </row>
    <row r="13630" spans="1:5" x14ac:dyDescent="0.25">
      <c r="A13630" s="5">
        <f>13622</f>
      </c>
      <c r="B13630" s="5" t="s">
        <v>12901</v>
      </c>
      <c r="C13630" s="5" t="s">
        <v>11</v>
      </c>
      <c r="D13630" s="5" t="s">
        <v>12</v>
      </c>
      <c r="E13630" s="5" t="s">
        <v>3430</v>
      </c>
    </row>
    <row r="13631" spans="1:5" x14ac:dyDescent="0.25">
      <c r="A13631" s="5">
        <f>13623</f>
      </c>
      <c r="B13631" s="5" t="s">
        <v>12902</v>
      </c>
      <c r="C13631" s="5" t="s">
        <v>11</v>
      </c>
      <c r="D13631" s="5" t="s">
        <v>12</v>
      </c>
      <c r="E13631" s="5" t="s">
        <v>3430</v>
      </c>
    </row>
    <row r="13632" spans="1:5" x14ac:dyDescent="0.25">
      <c r="A13632" s="5">
        <f>13624</f>
      </c>
      <c r="B13632" s="5" t="s">
        <v>12903</v>
      </c>
      <c r="C13632" s="5" t="s">
        <v>11</v>
      </c>
      <c r="D13632" s="5" t="s">
        <v>12</v>
      </c>
      <c r="E13632" s="5" t="s">
        <v>3430</v>
      </c>
    </row>
    <row r="13633" spans="1:5" x14ac:dyDescent="0.25">
      <c r="A13633" s="5">
        <f>13625</f>
      </c>
      <c r="B13633" s="5" t="s">
        <v>12904</v>
      </c>
      <c r="C13633" s="5" t="s">
        <v>11</v>
      </c>
      <c r="D13633" s="5" t="s">
        <v>12</v>
      </c>
      <c r="E13633" s="5" t="s">
        <v>3430</v>
      </c>
    </row>
    <row r="13634" spans="1:5" x14ac:dyDescent="0.25">
      <c r="A13634" s="5">
        <f>13626</f>
      </c>
      <c r="B13634" s="5" t="s">
        <v>12905</v>
      </c>
      <c r="C13634" s="5" t="s">
        <v>11</v>
      </c>
      <c r="D13634" s="5" t="s">
        <v>12</v>
      </c>
      <c r="E13634" s="5" t="s">
        <v>3430</v>
      </c>
    </row>
    <row r="13635" spans="1:5" x14ac:dyDescent="0.25">
      <c r="A13635" s="5">
        <f>13627</f>
      </c>
      <c r="B13635" s="5" t="s">
        <v>12906</v>
      </c>
      <c r="C13635" s="5" t="s">
        <v>11</v>
      </c>
      <c r="D13635" s="5" t="s">
        <v>12</v>
      </c>
      <c r="E13635" s="5" t="s">
        <v>3430</v>
      </c>
    </row>
    <row r="13636" spans="1:5" x14ac:dyDescent="0.25">
      <c r="A13636" s="5">
        <f>13628</f>
      </c>
      <c r="B13636" s="5" t="s">
        <v>12907</v>
      </c>
      <c r="C13636" s="5" t="s">
        <v>11</v>
      </c>
      <c r="D13636" s="5" t="s">
        <v>12</v>
      </c>
      <c r="E13636" s="5" t="s">
        <v>3430</v>
      </c>
    </row>
    <row r="13637" spans="1:5" x14ac:dyDescent="0.25">
      <c r="A13637" s="5">
        <f>13629</f>
      </c>
      <c r="B13637" s="5" t="s">
        <v>12908</v>
      </c>
      <c r="C13637" s="5" t="s">
        <v>11</v>
      </c>
      <c r="D13637" s="5" t="s">
        <v>12</v>
      </c>
      <c r="E13637" s="5" t="s">
        <v>3430</v>
      </c>
    </row>
    <row r="13638" spans="1:5" x14ac:dyDescent="0.25">
      <c r="A13638" s="5">
        <f>13630</f>
      </c>
      <c r="B13638" s="5" t="s">
        <v>12909</v>
      </c>
      <c r="C13638" s="5" t="s">
        <v>11</v>
      </c>
      <c r="D13638" s="5" t="s">
        <v>12</v>
      </c>
      <c r="E13638" s="5" t="s">
        <v>3430</v>
      </c>
    </row>
    <row r="13639" spans="1:5" x14ac:dyDescent="0.25">
      <c r="A13639" s="5">
        <f>13631</f>
      </c>
      <c r="B13639" s="5" t="s">
        <v>12910</v>
      </c>
      <c r="C13639" s="5" t="s">
        <v>11</v>
      </c>
      <c r="D13639" s="5" t="s">
        <v>12</v>
      </c>
      <c r="E13639" s="5" t="s">
        <v>3430</v>
      </c>
    </row>
    <row r="13640" spans="1:5" x14ac:dyDescent="0.25">
      <c r="A13640" s="5">
        <f>13632</f>
      </c>
      <c r="B13640" s="5" t="s">
        <v>12911</v>
      </c>
      <c r="C13640" s="5" t="s">
        <v>11</v>
      </c>
      <c r="D13640" s="5" t="s">
        <v>12</v>
      </c>
      <c r="E13640" s="5" t="s">
        <v>3430</v>
      </c>
    </row>
    <row r="13641" spans="1:5" x14ac:dyDescent="0.25">
      <c r="A13641" s="5">
        <f>13633</f>
      </c>
      <c r="B13641" s="5" t="s">
        <v>12912</v>
      </c>
      <c r="C13641" s="5" t="s">
        <v>11</v>
      </c>
      <c r="D13641" s="5" t="s">
        <v>12</v>
      </c>
      <c r="E13641" s="5" t="s">
        <v>3430</v>
      </c>
    </row>
    <row r="13642" spans="1:5" x14ac:dyDescent="0.25">
      <c r="A13642" s="5">
        <f>13634</f>
      </c>
      <c r="B13642" s="5" t="s">
        <v>12913</v>
      </c>
      <c r="C13642" s="5" t="s">
        <v>11</v>
      </c>
      <c r="D13642" s="5" t="s">
        <v>12</v>
      </c>
      <c r="E13642" s="5" t="s">
        <v>3430</v>
      </c>
    </row>
    <row r="13643" spans="1:5" x14ac:dyDescent="0.25">
      <c r="A13643" s="5">
        <f>13635</f>
      </c>
      <c r="B13643" s="5" t="s">
        <v>12914</v>
      </c>
      <c r="C13643" s="5" t="s">
        <v>11</v>
      </c>
      <c r="D13643" s="5" t="s">
        <v>12</v>
      </c>
      <c r="E13643" s="5" t="s">
        <v>3430</v>
      </c>
    </row>
    <row r="13644" spans="1:5" x14ac:dyDescent="0.25">
      <c r="A13644" s="5">
        <f>13636</f>
      </c>
      <c r="B13644" s="5" t="s">
        <v>12915</v>
      </c>
      <c r="C13644" s="5" t="s">
        <v>11</v>
      </c>
      <c r="D13644" s="5" t="s">
        <v>12</v>
      </c>
      <c r="E13644" s="5" t="s">
        <v>3430</v>
      </c>
    </row>
    <row r="13645" spans="1:5" x14ac:dyDescent="0.25">
      <c r="A13645" s="5">
        <f>13637</f>
      </c>
      <c r="B13645" s="5" t="s">
        <v>12916</v>
      </c>
      <c r="C13645" s="5" t="s">
        <v>11</v>
      </c>
      <c r="D13645" s="5" t="s">
        <v>12</v>
      </c>
      <c r="E13645" s="5" t="s">
        <v>3430</v>
      </c>
    </row>
    <row r="13646" spans="1:5" x14ac:dyDescent="0.25">
      <c r="A13646" s="5">
        <f>13638</f>
      </c>
      <c r="B13646" s="5" t="s">
        <v>12917</v>
      </c>
      <c r="C13646" s="5" t="s">
        <v>11</v>
      </c>
      <c r="D13646" s="5" t="s">
        <v>12</v>
      </c>
      <c r="E13646" s="5" t="s">
        <v>3430</v>
      </c>
    </row>
    <row r="13647" spans="1:5" x14ac:dyDescent="0.25">
      <c r="A13647" s="5">
        <f>13639</f>
      </c>
      <c r="B13647" s="5" t="s">
        <v>12918</v>
      </c>
      <c r="C13647" s="5" t="s">
        <v>11</v>
      </c>
      <c r="D13647" s="5" t="s">
        <v>12</v>
      </c>
      <c r="E13647" s="5" t="s">
        <v>3430</v>
      </c>
    </row>
    <row r="13648" spans="1:5" x14ac:dyDescent="0.25">
      <c r="A13648" s="5">
        <f>13640</f>
      </c>
      <c r="B13648" s="5" t="s">
        <v>12919</v>
      </c>
      <c r="C13648" s="5" t="s">
        <v>11</v>
      </c>
      <c r="D13648" s="5" t="s">
        <v>12</v>
      </c>
      <c r="E13648" s="5" t="s">
        <v>3430</v>
      </c>
    </row>
    <row r="13649" spans="1:5" x14ac:dyDescent="0.25">
      <c r="A13649" s="5">
        <f>13641</f>
      </c>
      <c r="B13649" s="5" t="s">
        <v>12920</v>
      </c>
      <c r="C13649" s="5" t="s">
        <v>11</v>
      </c>
      <c r="D13649" s="5" t="s">
        <v>12</v>
      </c>
      <c r="E13649" s="5" t="s">
        <v>3430</v>
      </c>
    </row>
    <row r="13650" spans="1:5" x14ac:dyDescent="0.25">
      <c r="A13650" s="5">
        <f>13642</f>
      </c>
      <c r="B13650" s="5" t="s">
        <v>12921</v>
      </c>
      <c r="C13650" s="5" t="s">
        <v>11</v>
      </c>
      <c r="D13650" s="5" t="s">
        <v>12</v>
      </c>
      <c r="E13650" s="5" t="s">
        <v>3430</v>
      </c>
    </row>
    <row r="13651" spans="1:5" x14ac:dyDescent="0.25">
      <c r="A13651" s="5">
        <f>13643</f>
      </c>
      <c r="B13651" s="5" t="s">
        <v>12922</v>
      </c>
      <c r="C13651" s="5" t="s">
        <v>11</v>
      </c>
      <c r="D13651" s="5" t="s">
        <v>12</v>
      </c>
      <c r="E13651" s="5" t="s">
        <v>3430</v>
      </c>
    </row>
    <row r="13652" spans="1:5" x14ac:dyDescent="0.25">
      <c r="A13652" s="5">
        <f>13644</f>
      </c>
      <c r="B13652" s="5" t="s">
        <v>12923</v>
      </c>
      <c r="C13652" s="5" t="s">
        <v>11</v>
      </c>
      <c r="D13652" s="5" t="s">
        <v>12</v>
      </c>
      <c r="E13652" s="5" t="s">
        <v>3430</v>
      </c>
    </row>
    <row r="13653" spans="1:5" x14ac:dyDescent="0.25">
      <c r="A13653" s="5">
        <f>13645</f>
      </c>
      <c r="B13653" s="5" t="s">
        <v>12924</v>
      </c>
      <c r="C13653" s="5" t="s">
        <v>11</v>
      </c>
      <c r="D13653" s="5" t="s">
        <v>12</v>
      </c>
      <c r="E13653" s="5" t="s">
        <v>3430</v>
      </c>
    </row>
    <row r="13654" spans="1:5" x14ac:dyDescent="0.25">
      <c r="A13654" s="5">
        <f>13646</f>
      </c>
      <c r="B13654" s="5" t="s">
        <v>12925</v>
      </c>
      <c r="C13654" s="5" t="s">
        <v>11</v>
      </c>
      <c r="D13654" s="5" t="s">
        <v>12</v>
      </c>
      <c r="E13654" s="5" t="s">
        <v>3430</v>
      </c>
    </row>
    <row r="13655" spans="1:5" x14ac:dyDescent="0.25">
      <c r="A13655" s="5">
        <f>13647</f>
      </c>
      <c r="B13655" s="5" t="s">
        <v>12926</v>
      </c>
      <c r="C13655" s="5" t="s">
        <v>11</v>
      </c>
      <c r="D13655" s="5" t="s">
        <v>12</v>
      </c>
      <c r="E13655" s="5" t="s">
        <v>3430</v>
      </c>
    </row>
    <row r="13656" spans="1:5" x14ac:dyDescent="0.25">
      <c r="A13656" s="5">
        <f>13648</f>
      </c>
      <c r="B13656" s="5" t="s">
        <v>12927</v>
      </c>
      <c r="C13656" s="5" t="s">
        <v>11</v>
      </c>
      <c r="D13656" s="5" t="s">
        <v>12</v>
      </c>
      <c r="E13656" s="5" t="s">
        <v>3430</v>
      </c>
    </row>
    <row r="13657" spans="1:5" x14ac:dyDescent="0.25">
      <c r="A13657" s="5">
        <f>13649</f>
      </c>
      <c r="B13657" s="5" t="s">
        <v>12928</v>
      </c>
      <c r="C13657" s="5" t="s">
        <v>11</v>
      </c>
      <c r="D13657" s="5" t="s">
        <v>12</v>
      </c>
      <c r="E13657" s="5" t="s">
        <v>3430</v>
      </c>
    </row>
    <row r="13658" spans="1:5" x14ac:dyDescent="0.25">
      <c r="A13658" s="5">
        <f>13650</f>
      </c>
      <c r="B13658" s="5" t="s">
        <v>12929</v>
      </c>
      <c r="C13658" s="5" t="s">
        <v>11</v>
      </c>
      <c r="D13658" s="5" t="s">
        <v>12</v>
      </c>
      <c r="E13658" s="5" t="s">
        <v>3430</v>
      </c>
    </row>
    <row r="13659" spans="1:5" x14ac:dyDescent="0.25">
      <c r="A13659" s="5">
        <f>13651</f>
      </c>
      <c r="B13659" s="5" t="s">
        <v>12930</v>
      </c>
      <c r="C13659" s="5" t="s">
        <v>11</v>
      </c>
      <c r="D13659" s="5" t="s">
        <v>12</v>
      </c>
      <c r="E13659" s="5" t="s">
        <v>3430</v>
      </c>
    </row>
    <row r="13660" spans="1:5" x14ac:dyDescent="0.25">
      <c r="A13660" s="5">
        <f>13652</f>
      </c>
      <c r="B13660" s="5" t="s">
        <v>12931</v>
      </c>
      <c r="C13660" s="5" t="s">
        <v>11</v>
      </c>
      <c r="D13660" s="5" t="s">
        <v>12</v>
      </c>
      <c r="E13660" s="5" t="s">
        <v>3430</v>
      </c>
    </row>
    <row r="13661" spans="1:5" x14ac:dyDescent="0.25">
      <c r="A13661" s="5">
        <f>13653</f>
      </c>
      <c r="B13661" s="5" t="s">
        <v>12932</v>
      </c>
      <c r="C13661" s="5" t="s">
        <v>11</v>
      </c>
      <c r="D13661" s="5" t="s">
        <v>12</v>
      </c>
      <c r="E13661" s="5" t="s">
        <v>3430</v>
      </c>
    </row>
    <row r="13662" spans="1:5" x14ac:dyDescent="0.25">
      <c r="A13662" s="5">
        <f>13654</f>
      </c>
      <c r="B13662" s="5" t="s">
        <v>12933</v>
      </c>
      <c r="C13662" s="5" t="s">
        <v>11</v>
      </c>
      <c r="D13662" s="5" t="s">
        <v>12</v>
      </c>
      <c r="E13662" s="5" t="s">
        <v>3430</v>
      </c>
    </row>
    <row r="13663" spans="1:5" x14ac:dyDescent="0.25">
      <c r="A13663" s="5">
        <f>13655</f>
      </c>
      <c r="B13663" s="5" t="s">
        <v>12934</v>
      </c>
      <c r="C13663" s="5" t="s">
        <v>11</v>
      </c>
      <c r="D13663" s="5" t="s">
        <v>12</v>
      </c>
      <c r="E13663" s="5" t="s">
        <v>3430</v>
      </c>
    </row>
    <row r="13664" spans="1:5" x14ac:dyDescent="0.25">
      <c r="A13664" s="5">
        <f>13656</f>
      </c>
      <c r="B13664" s="5" t="s">
        <v>12935</v>
      </c>
      <c r="C13664" s="5" t="s">
        <v>11</v>
      </c>
      <c r="D13664" s="5" t="s">
        <v>12</v>
      </c>
      <c r="E13664" s="5" t="s">
        <v>3430</v>
      </c>
    </row>
    <row r="13665" spans="1:5" x14ac:dyDescent="0.25">
      <c r="A13665" s="5">
        <f>13657</f>
      </c>
      <c r="B13665" s="5" t="s">
        <v>12936</v>
      </c>
      <c r="C13665" s="5" t="s">
        <v>11</v>
      </c>
      <c r="D13665" s="5" t="s">
        <v>12</v>
      </c>
      <c r="E13665" s="5" t="s">
        <v>3430</v>
      </c>
    </row>
    <row r="13666" spans="1:5" x14ac:dyDescent="0.25">
      <c r="A13666" s="5">
        <f>13658</f>
      </c>
      <c r="B13666" s="5" t="s">
        <v>12937</v>
      </c>
      <c r="C13666" s="5" t="s">
        <v>11</v>
      </c>
      <c r="D13666" s="5" t="s">
        <v>12</v>
      </c>
      <c r="E13666" s="5" t="s">
        <v>3430</v>
      </c>
    </row>
    <row r="13667" spans="1:5" x14ac:dyDescent="0.25">
      <c r="A13667" s="5">
        <f>13659</f>
      </c>
      <c r="B13667" s="5" t="s">
        <v>12938</v>
      </c>
      <c r="C13667" s="5" t="s">
        <v>11</v>
      </c>
      <c r="D13667" s="5" t="s">
        <v>12</v>
      </c>
      <c r="E13667" s="5" t="s">
        <v>3430</v>
      </c>
    </row>
    <row r="13668" spans="1:5" x14ac:dyDescent="0.25">
      <c r="A13668" s="5">
        <f>13660</f>
      </c>
      <c r="B13668" s="5" t="s">
        <v>12939</v>
      </c>
      <c r="C13668" s="5" t="s">
        <v>11</v>
      </c>
      <c r="D13668" s="5" t="s">
        <v>12</v>
      </c>
      <c r="E13668" s="5" t="s">
        <v>3430</v>
      </c>
    </row>
    <row r="13669" spans="1:5" x14ac:dyDescent="0.25">
      <c r="A13669" s="5">
        <f>13661</f>
      </c>
      <c r="B13669" s="5" t="s">
        <v>12940</v>
      </c>
      <c r="C13669" s="5" t="s">
        <v>11</v>
      </c>
      <c r="D13669" s="5" t="s">
        <v>12</v>
      </c>
      <c r="E13669" s="5" t="s">
        <v>3430</v>
      </c>
    </row>
    <row r="13670" spans="1:5" x14ac:dyDescent="0.25">
      <c r="A13670" s="5">
        <f>13662</f>
      </c>
      <c r="B13670" s="5" t="s">
        <v>12941</v>
      </c>
      <c r="C13670" s="5" t="s">
        <v>11</v>
      </c>
      <c r="D13670" s="5" t="s">
        <v>12</v>
      </c>
      <c r="E13670" s="5" t="s">
        <v>3430</v>
      </c>
    </row>
    <row r="13671" spans="1:5" x14ac:dyDescent="0.25">
      <c r="A13671" s="5">
        <f>13663</f>
      </c>
      <c r="B13671" s="5" t="s">
        <v>12942</v>
      </c>
      <c r="C13671" s="5" t="s">
        <v>11</v>
      </c>
      <c r="D13671" s="5" t="s">
        <v>12</v>
      </c>
      <c r="E13671" s="5" t="s">
        <v>3430</v>
      </c>
    </row>
    <row r="13672" spans="1:5" x14ac:dyDescent="0.25">
      <c r="A13672" s="5">
        <f>13664</f>
      </c>
      <c r="B13672" s="5" t="s">
        <v>12943</v>
      </c>
      <c r="C13672" s="5" t="s">
        <v>11</v>
      </c>
      <c r="D13672" s="5" t="s">
        <v>12</v>
      </c>
      <c r="E13672" s="5" t="s">
        <v>3430</v>
      </c>
    </row>
    <row r="13673" spans="1:5" x14ac:dyDescent="0.25">
      <c r="A13673" s="5">
        <f>13665</f>
      </c>
      <c r="B13673" s="5" t="s">
        <v>12944</v>
      </c>
      <c r="C13673" s="5" t="s">
        <v>11</v>
      </c>
      <c r="D13673" s="5" t="s">
        <v>12</v>
      </c>
      <c r="E13673" s="5" t="s">
        <v>3430</v>
      </c>
    </row>
    <row r="13674" spans="1:5" x14ac:dyDescent="0.25">
      <c r="A13674" s="5">
        <f>13666</f>
      </c>
      <c r="B13674" s="5" t="s">
        <v>12945</v>
      </c>
      <c r="C13674" s="5" t="s">
        <v>11</v>
      </c>
      <c r="D13674" s="5" t="s">
        <v>12</v>
      </c>
      <c r="E13674" s="5" t="s">
        <v>3430</v>
      </c>
    </row>
    <row r="13675" spans="1:5" x14ac:dyDescent="0.25">
      <c r="A13675" s="5">
        <f>13667</f>
      </c>
      <c r="B13675" s="5" t="s">
        <v>12946</v>
      </c>
      <c r="C13675" s="5" t="s">
        <v>11</v>
      </c>
      <c r="D13675" s="5" t="s">
        <v>12</v>
      </c>
      <c r="E13675" s="5" t="s">
        <v>3430</v>
      </c>
    </row>
    <row r="13676" spans="1:5" x14ac:dyDescent="0.25">
      <c r="A13676" s="5">
        <f>13668</f>
      </c>
      <c r="B13676" s="5" t="s">
        <v>12947</v>
      </c>
      <c r="C13676" s="5" t="s">
        <v>11</v>
      </c>
      <c r="D13676" s="5" t="s">
        <v>12</v>
      </c>
      <c r="E13676" s="5" t="s">
        <v>3430</v>
      </c>
    </row>
    <row r="13677" spans="1:5" x14ac:dyDescent="0.25">
      <c r="A13677" s="5">
        <f>13669</f>
      </c>
      <c r="B13677" s="5" t="s">
        <v>12948</v>
      </c>
      <c r="C13677" s="5" t="s">
        <v>11</v>
      </c>
      <c r="D13677" s="5" t="s">
        <v>12</v>
      </c>
      <c r="E13677" s="5" t="s">
        <v>3430</v>
      </c>
    </row>
    <row r="13678" spans="1:5" x14ac:dyDescent="0.25">
      <c r="A13678" s="5">
        <f>13670</f>
      </c>
      <c r="B13678" s="5" t="s">
        <v>12949</v>
      </c>
      <c r="C13678" s="5" t="s">
        <v>11</v>
      </c>
      <c r="D13678" s="5" t="s">
        <v>12</v>
      </c>
      <c r="E13678" s="5" t="s">
        <v>3430</v>
      </c>
    </row>
    <row r="13679" spans="1:5" x14ac:dyDescent="0.25">
      <c r="A13679" s="5">
        <f>13671</f>
      </c>
      <c r="B13679" s="5" t="s">
        <v>12950</v>
      </c>
      <c r="C13679" s="5" t="s">
        <v>11</v>
      </c>
      <c r="D13679" s="5" t="s">
        <v>12</v>
      </c>
      <c r="E13679" s="5" t="s">
        <v>3430</v>
      </c>
    </row>
    <row r="13680" spans="1:5" x14ac:dyDescent="0.25">
      <c r="A13680" s="5">
        <f>13672</f>
      </c>
      <c r="B13680" s="5" t="s">
        <v>12951</v>
      </c>
      <c r="C13680" s="5" t="s">
        <v>11</v>
      </c>
      <c r="D13680" s="5" t="s">
        <v>12</v>
      </c>
      <c r="E13680" s="5" t="s">
        <v>3430</v>
      </c>
    </row>
    <row r="13681" spans="1:5" x14ac:dyDescent="0.25">
      <c r="A13681" s="5">
        <f>13673</f>
      </c>
      <c r="B13681" s="5" t="s">
        <v>12952</v>
      </c>
      <c r="C13681" s="5" t="s">
        <v>11</v>
      </c>
      <c r="D13681" s="5" t="s">
        <v>12</v>
      </c>
      <c r="E13681" s="5" t="s">
        <v>3430</v>
      </c>
    </row>
    <row r="13682" spans="1:5" x14ac:dyDescent="0.25">
      <c r="A13682" s="5">
        <f>13674</f>
      </c>
      <c r="B13682" s="5" t="s">
        <v>12953</v>
      </c>
      <c r="C13682" s="5" t="s">
        <v>11</v>
      </c>
      <c r="D13682" s="5" t="s">
        <v>12</v>
      </c>
      <c r="E13682" s="5" t="s">
        <v>3430</v>
      </c>
    </row>
    <row r="13683" spans="1:5" x14ac:dyDescent="0.25">
      <c r="A13683" s="5">
        <f>13675</f>
      </c>
      <c r="B13683" s="5" t="s">
        <v>12954</v>
      </c>
      <c r="C13683" s="5" t="s">
        <v>11</v>
      </c>
      <c r="D13683" s="5" t="s">
        <v>12</v>
      </c>
      <c r="E13683" s="5" t="s">
        <v>3430</v>
      </c>
    </row>
    <row r="13684" spans="1:5" x14ac:dyDescent="0.25">
      <c r="A13684" s="5">
        <f>13676</f>
      </c>
      <c r="B13684" s="5" t="s">
        <v>12955</v>
      </c>
      <c r="C13684" s="5" t="s">
        <v>11</v>
      </c>
      <c r="D13684" s="5" t="s">
        <v>12</v>
      </c>
      <c r="E13684" s="5" t="s">
        <v>3430</v>
      </c>
    </row>
    <row r="13685" spans="1:5" x14ac:dyDescent="0.25">
      <c r="A13685" s="5">
        <f>13677</f>
      </c>
      <c r="B13685" s="5" t="s">
        <v>12956</v>
      </c>
      <c r="C13685" s="5" t="s">
        <v>11</v>
      </c>
      <c r="D13685" s="5" t="s">
        <v>12</v>
      </c>
      <c r="E13685" s="5" t="s">
        <v>3430</v>
      </c>
    </row>
    <row r="13686" spans="1:5" x14ac:dyDescent="0.25">
      <c r="A13686" s="5">
        <f>13678</f>
      </c>
      <c r="B13686" s="5" t="s">
        <v>12957</v>
      </c>
      <c r="C13686" s="5" t="s">
        <v>11</v>
      </c>
      <c r="D13686" s="5" t="s">
        <v>12</v>
      </c>
      <c r="E13686" s="5" t="s">
        <v>3430</v>
      </c>
    </row>
    <row r="13687" spans="1:5" x14ac:dyDescent="0.25">
      <c r="A13687" s="5">
        <f>13679</f>
      </c>
      <c r="B13687" s="5" t="s">
        <v>12958</v>
      </c>
      <c r="C13687" s="5" t="s">
        <v>11</v>
      </c>
      <c r="D13687" s="5" t="s">
        <v>12</v>
      </c>
      <c r="E13687" s="5" t="s">
        <v>3430</v>
      </c>
    </row>
    <row r="13688" spans="1:5" x14ac:dyDescent="0.25">
      <c r="A13688" s="5">
        <f>13680</f>
      </c>
      <c r="B13688" s="5" t="s">
        <v>12959</v>
      </c>
      <c r="C13688" s="5" t="s">
        <v>11</v>
      </c>
      <c r="D13688" s="5" t="s">
        <v>12</v>
      </c>
      <c r="E13688" s="5" t="s">
        <v>3430</v>
      </c>
    </row>
    <row r="13689" spans="1:5" x14ac:dyDescent="0.25">
      <c r="A13689" s="5">
        <f>13681</f>
      </c>
      <c r="B13689" s="5" t="s">
        <v>12960</v>
      </c>
      <c r="C13689" s="5" t="s">
        <v>11</v>
      </c>
      <c r="D13689" s="5" t="s">
        <v>12</v>
      </c>
      <c r="E13689" s="5" t="s">
        <v>3430</v>
      </c>
    </row>
    <row r="13690" spans="1:5" x14ac:dyDescent="0.25">
      <c r="A13690" s="5">
        <f>13682</f>
      </c>
      <c r="B13690" s="5" t="s">
        <v>12961</v>
      </c>
      <c r="C13690" s="5" t="s">
        <v>11</v>
      </c>
      <c r="D13690" s="5" t="s">
        <v>12</v>
      </c>
      <c r="E13690" s="5" t="s">
        <v>3430</v>
      </c>
    </row>
    <row r="13691" spans="1:5" x14ac:dyDescent="0.25">
      <c r="A13691" s="5">
        <f>13683</f>
      </c>
      <c r="B13691" s="5" t="s">
        <v>12962</v>
      </c>
      <c r="C13691" s="5" t="s">
        <v>11</v>
      </c>
      <c r="D13691" s="5" t="s">
        <v>12</v>
      </c>
      <c r="E13691" s="5" t="s">
        <v>3430</v>
      </c>
    </row>
    <row r="13692" spans="1:5" x14ac:dyDescent="0.25">
      <c r="A13692" s="5">
        <f>13684</f>
      </c>
      <c r="B13692" s="5" t="s">
        <v>12963</v>
      </c>
      <c r="C13692" s="5" t="s">
        <v>11</v>
      </c>
      <c r="D13692" s="5" t="s">
        <v>12</v>
      </c>
      <c r="E13692" s="5" t="s">
        <v>3430</v>
      </c>
    </row>
    <row r="13693" spans="1:5" x14ac:dyDescent="0.25">
      <c r="A13693" s="5">
        <f>13685</f>
      </c>
      <c r="B13693" s="5" t="s">
        <v>12964</v>
      </c>
      <c r="C13693" s="5" t="s">
        <v>11</v>
      </c>
      <c r="D13693" s="5" t="s">
        <v>12</v>
      </c>
      <c r="E13693" s="5" t="s">
        <v>3430</v>
      </c>
    </row>
    <row r="13694" spans="1:5" x14ac:dyDescent="0.25">
      <c r="A13694" s="5">
        <f>13686</f>
      </c>
      <c r="B13694" s="5" t="s">
        <v>12965</v>
      </c>
      <c r="C13694" s="5" t="s">
        <v>11</v>
      </c>
      <c r="D13694" s="5" t="s">
        <v>12</v>
      </c>
      <c r="E13694" s="5" t="s">
        <v>3430</v>
      </c>
    </row>
    <row r="13695" spans="1:5" x14ac:dyDescent="0.25">
      <c r="A13695" s="5">
        <f>13687</f>
      </c>
      <c r="B13695" s="5" t="s">
        <v>12966</v>
      </c>
      <c r="C13695" s="5" t="s">
        <v>11</v>
      </c>
      <c r="D13695" s="5" t="s">
        <v>12</v>
      </c>
      <c r="E13695" s="5" t="s">
        <v>3430</v>
      </c>
    </row>
    <row r="13696" spans="1:5" x14ac:dyDescent="0.25">
      <c r="A13696" s="5">
        <f>13688</f>
      </c>
      <c r="B13696" s="5" t="s">
        <v>12967</v>
      </c>
      <c r="C13696" s="5" t="s">
        <v>11</v>
      </c>
      <c r="D13696" s="5" t="s">
        <v>12</v>
      </c>
      <c r="E13696" s="5" t="s">
        <v>3430</v>
      </c>
    </row>
    <row r="13697" spans="1:5" x14ac:dyDescent="0.25">
      <c r="A13697" s="5">
        <f>13689</f>
      </c>
      <c r="B13697" s="5" t="s">
        <v>12968</v>
      </c>
      <c r="C13697" s="5" t="s">
        <v>11</v>
      </c>
      <c r="D13697" s="5" t="s">
        <v>12</v>
      </c>
      <c r="E13697" s="5" t="s">
        <v>3430</v>
      </c>
    </row>
    <row r="13698" spans="1:5" x14ac:dyDescent="0.25">
      <c r="A13698" s="5">
        <f>13690</f>
      </c>
      <c r="B13698" s="5" t="s">
        <v>12969</v>
      </c>
      <c r="C13698" s="5" t="s">
        <v>11</v>
      </c>
      <c r="D13698" s="5" t="s">
        <v>12</v>
      </c>
      <c r="E13698" s="5" t="s">
        <v>3430</v>
      </c>
    </row>
    <row r="13699" spans="1:5" x14ac:dyDescent="0.25">
      <c r="A13699" s="5">
        <f>13691</f>
      </c>
      <c r="B13699" s="5" t="s">
        <v>12970</v>
      </c>
      <c r="C13699" s="5" t="s">
        <v>11</v>
      </c>
      <c r="D13699" s="5" t="s">
        <v>12</v>
      </c>
      <c r="E13699" s="5" t="s">
        <v>3430</v>
      </c>
    </row>
    <row r="13700" spans="1:5" x14ac:dyDescent="0.25">
      <c r="A13700" s="5">
        <f>13692</f>
      </c>
      <c r="B13700" s="5" t="s">
        <v>12971</v>
      </c>
      <c r="C13700" s="5" t="s">
        <v>11</v>
      </c>
      <c r="D13700" s="5" t="s">
        <v>12</v>
      </c>
      <c r="E13700" s="5" t="s">
        <v>3430</v>
      </c>
    </row>
    <row r="13701" spans="1:5" x14ac:dyDescent="0.25">
      <c r="A13701" s="5">
        <f>13693</f>
      </c>
      <c r="B13701" s="5" t="s">
        <v>12972</v>
      </c>
      <c r="C13701" s="5" t="s">
        <v>11</v>
      </c>
      <c r="D13701" s="5" t="s">
        <v>12</v>
      </c>
      <c r="E13701" s="5" t="s">
        <v>3430</v>
      </c>
    </row>
    <row r="13702" spans="1:5" x14ac:dyDescent="0.25">
      <c r="A13702" s="5">
        <f>13694</f>
      </c>
      <c r="B13702" s="5" t="s">
        <v>12973</v>
      </c>
      <c r="C13702" s="5" t="s">
        <v>11</v>
      </c>
      <c r="D13702" s="5" t="s">
        <v>12</v>
      </c>
      <c r="E13702" s="5" t="s">
        <v>3430</v>
      </c>
    </row>
    <row r="13703" spans="1:5" x14ac:dyDescent="0.25">
      <c r="A13703" s="5">
        <f>13695</f>
      </c>
      <c r="B13703" s="5" t="s">
        <v>12974</v>
      </c>
      <c r="C13703" s="5" t="s">
        <v>11</v>
      </c>
      <c r="D13703" s="5" t="s">
        <v>12</v>
      </c>
      <c r="E13703" s="5" t="s">
        <v>3430</v>
      </c>
    </row>
    <row r="13704" spans="1:5" x14ac:dyDescent="0.25">
      <c r="A13704" s="5">
        <f>13696</f>
      </c>
      <c r="B13704" s="5" t="s">
        <v>12975</v>
      </c>
      <c r="C13704" s="5" t="s">
        <v>11</v>
      </c>
      <c r="D13704" s="5" t="s">
        <v>12</v>
      </c>
      <c r="E13704" s="5" t="s">
        <v>3430</v>
      </c>
    </row>
    <row r="13705" spans="1:5" x14ac:dyDescent="0.25">
      <c r="A13705" s="5">
        <f>13697</f>
      </c>
      <c r="B13705" s="5" t="s">
        <v>12976</v>
      </c>
      <c r="C13705" s="5" t="s">
        <v>11</v>
      </c>
      <c r="D13705" s="5" t="s">
        <v>12</v>
      </c>
      <c r="E13705" s="5" t="s">
        <v>3430</v>
      </c>
    </row>
    <row r="13706" spans="1:5" x14ac:dyDescent="0.25">
      <c r="A13706" s="5">
        <f>13698</f>
      </c>
      <c r="B13706" s="5" t="s">
        <v>12977</v>
      </c>
      <c r="C13706" s="5" t="s">
        <v>11</v>
      </c>
      <c r="D13706" s="5" t="s">
        <v>12</v>
      </c>
      <c r="E13706" s="5" t="s">
        <v>3430</v>
      </c>
    </row>
    <row r="13707" spans="1:5" x14ac:dyDescent="0.25">
      <c r="A13707" s="5">
        <f>13699</f>
      </c>
      <c r="B13707" s="5" t="s">
        <v>12978</v>
      </c>
      <c r="C13707" s="5" t="s">
        <v>11</v>
      </c>
      <c r="D13707" s="5" t="s">
        <v>12</v>
      </c>
      <c r="E13707" s="5" t="s">
        <v>3430</v>
      </c>
    </row>
    <row r="13708" spans="1:5" x14ac:dyDescent="0.25">
      <c r="A13708" s="5">
        <f>13700</f>
      </c>
      <c r="B13708" s="5" t="s">
        <v>12979</v>
      </c>
      <c r="C13708" s="5" t="s">
        <v>11</v>
      </c>
      <c r="D13708" s="5" t="s">
        <v>12</v>
      </c>
      <c r="E13708" s="5" t="s">
        <v>3430</v>
      </c>
    </row>
    <row r="13709" spans="1:5" x14ac:dyDescent="0.25">
      <c r="A13709" s="5">
        <f>13701</f>
      </c>
      <c r="B13709" s="5" t="s">
        <v>12980</v>
      </c>
      <c r="C13709" s="5" t="s">
        <v>11</v>
      </c>
      <c r="D13709" s="5" t="s">
        <v>12</v>
      </c>
      <c r="E13709" s="5" t="s">
        <v>3430</v>
      </c>
    </row>
    <row r="13710" spans="1:5" x14ac:dyDescent="0.25">
      <c r="A13710" s="5">
        <f>13702</f>
      </c>
      <c r="B13710" s="5" t="s">
        <v>12981</v>
      </c>
      <c r="C13710" s="5" t="s">
        <v>11</v>
      </c>
      <c r="D13710" s="5" t="s">
        <v>12</v>
      </c>
      <c r="E13710" s="5" t="s">
        <v>3430</v>
      </c>
    </row>
    <row r="13711" spans="1:5" x14ac:dyDescent="0.25">
      <c r="A13711" s="5">
        <f>13703</f>
      </c>
      <c r="B13711" s="5" t="s">
        <v>12982</v>
      </c>
      <c r="C13711" s="5" t="s">
        <v>11</v>
      </c>
      <c r="D13711" s="5" t="s">
        <v>12</v>
      </c>
      <c r="E13711" s="5" t="s">
        <v>3430</v>
      </c>
    </row>
    <row r="13712" spans="1:5" x14ac:dyDescent="0.25">
      <c r="A13712" s="5">
        <f>13704</f>
      </c>
      <c r="B13712" s="5" t="s">
        <v>12983</v>
      </c>
      <c r="C13712" s="5" t="s">
        <v>11</v>
      </c>
      <c r="D13712" s="5" t="s">
        <v>12</v>
      </c>
      <c r="E13712" s="5" t="s">
        <v>3430</v>
      </c>
    </row>
    <row r="13713" spans="1:5" x14ac:dyDescent="0.25">
      <c r="A13713" s="5">
        <f>13705</f>
      </c>
      <c r="B13713" s="5" t="s">
        <v>12984</v>
      </c>
      <c r="C13713" s="5" t="s">
        <v>11</v>
      </c>
      <c r="D13713" s="5" t="s">
        <v>12</v>
      </c>
      <c r="E13713" s="5" t="s">
        <v>3430</v>
      </c>
    </row>
    <row r="13714" spans="1:5" x14ac:dyDescent="0.25">
      <c r="A13714" s="5">
        <f>13706</f>
      </c>
      <c r="B13714" s="5" t="s">
        <v>12985</v>
      </c>
      <c r="C13714" s="5" t="s">
        <v>11</v>
      </c>
      <c r="D13714" s="5" t="s">
        <v>12</v>
      </c>
      <c r="E13714" s="5" t="s">
        <v>3430</v>
      </c>
    </row>
    <row r="13715" spans="1:5" x14ac:dyDescent="0.25">
      <c r="A13715" s="5">
        <f>13707</f>
      </c>
      <c r="B13715" s="5" t="s">
        <v>12986</v>
      </c>
      <c r="C13715" s="5" t="s">
        <v>11</v>
      </c>
      <c r="D13715" s="5" t="s">
        <v>12</v>
      </c>
      <c r="E13715" s="5" t="s">
        <v>3430</v>
      </c>
    </row>
    <row r="13716" spans="1:5" x14ac:dyDescent="0.25">
      <c r="A13716" s="5">
        <f>13708</f>
      </c>
      <c r="B13716" s="5" t="s">
        <v>12987</v>
      </c>
      <c r="C13716" s="5" t="s">
        <v>11</v>
      </c>
      <c r="D13716" s="5" t="s">
        <v>12</v>
      </c>
      <c r="E13716" s="5" t="s">
        <v>3430</v>
      </c>
    </row>
    <row r="13717" spans="1:5" x14ac:dyDescent="0.25">
      <c r="A13717" s="5">
        <f>13709</f>
      </c>
      <c r="B13717" s="5" t="s">
        <v>12988</v>
      </c>
      <c r="C13717" s="5" t="s">
        <v>11</v>
      </c>
      <c r="D13717" s="5" t="s">
        <v>12</v>
      </c>
      <c r="E13717" s="5" t="s">
        <v>3430</v>
      </c>
    </row>
    <row r="13718" spans="1:5" x14ac:dyDescent="0.25">
      <c r="A13718" s="5">
        <f>13710</f>
      </c>
      <c r="B13718" s="5" t="s">
        <v>12989</v>
      </c>
      <c r="C13718" s="5" t="s">
        <v>11</v>
      </c>
      <c r="D13718" s="5" t="s">
        <v>12</v>
      </c>
      <c r="E13718" s="5" t="s">
        <v>3430</v>
      </c>
    </row>
    <row r="13719" spans="1:5" x14ac:dyDescent="0.25">
      <c r="A13719" s="5">
        <f>13711</f>
      </c>
      <c r="B13719" s="5" t="s">
        <v>12990</v>
      </c>
      <c r="C13719" s="5" t="s">
        <v>11</v>
      </c>
      <c r="D13719" s="5" t="s">
        <v>12</v>
      </c>
      <c r="E13719" s="5" t="s">
        <v>3430</v>
      </c>
    </row>
    <row r="13720" spans="1:5" x14ac:dyDescent="0.25">
      <c r="A13720" s="5">
        <f>13712</f>
      </c>
      <c r="B13720" s="5" t="s">
        <v>12991</v>
      </c>
      <c r="C13720" s="5" t="s">
        <v>11</v>
      </c>
      <c r="D13720" s="5" t="s">
        <v>12</v>
      </c>
      <c r="E13720" s="5" t="s">
        <v>3430</v>
      </c>
    </row>
    <row r="13721" spans="1:5" x14ac:dyDescent="0.25">
      <c r="A13721" s="5">
        <f>13713</f>
      </c>
      <c r="B13721" s="5" t="s">
        <v>12992</v>
      </c>
      <c r="C13721" s="5" t="s">
        <v>11</v>
      </c>
      <c r="D13721" s="5" t="s">
        <v>12</v>
      </c>
      <c r="E13721" s="5" t="s">
        <v>3430</v>
      </c>
    </row>
    <row r="13722" spans="1:5" x14ac:dyDescent="0.25">
      <c r="A13722" s="5">
        <f>13714</f>
      </c>
      <c r="B13722" s="5" t="s">
        <v>12993</v>
      </c>
      <c r="C13722" s="5" t="s">
        <v>11</v>
      </c>
      <c r="D13722" s="5" t="s">
        <v>12</v>
      </c>
      <c r="E13722" s="5" t="s">
        <v>3430</v>
      </c>
    </row>
    <row r="13723" spans="1:5" x14ac:dyDescent="0.25">
      <c r="A13723" s="5">
        <f>13715</f>
      </c>
      <c r="B13723" s="5" t="s">
        <v>12994</v>
      </c>
      <c r="C13723" s="5" t="s">
        <v>11</v>
      </c>
      <c r="D13723" s="5" t="s">
        <v>12</v>
      </c>
      <c r="E13723" s="5" t="s">
        <v>3430</v>
      </c>
    </row>
    <row r="13724" spans="1:5" x14ac:dyDescent="0.25">
      <c r="A13724" s="5">
        <f>13716</f>
      </c>
      <c r="B13724" s="5" t="s">
        <v>12995</v>
      </c>
      <c r="C13724" s="5" t="s">
        <v>11</v>
      </c>
      <c r="D13724" s="5" t="s">
        <v>12</v>
      </c>
      <c r="E13724" s="5" t="s">
        <v>3430</v>
      </c>
    </row>
    <row r="13725" spans="1:5" x14ac:dyDescent="0.25">
      <c r="A13725" s="5">
        <f>13717</f>
      </c>
      <c r="B13725" s="5" t="s">
        <v>12996</v>
      </c>
      <c r="C13725" s="5" t="s">
        <v>11</v>
      </c>
      <c r="D13725" s="5" t="s">
        <v>12</v>
      </c>
      <c r="E13725" s="5" t="s">
        <v>3430</v>
      </c>
    </row>
    <row r="13726" spans="1:5" x14ac:dyDescent="0.25">
      <c r="A13726" s="5">
        <f>13718</f>
      </c>
      <c r="B13726" s="5" t="s">
        <v>12997</v>
      </c>
      <c r="C13726" s="5" t="s">
        <v>11</v>
      </c>
      <c r="D13726" s="5" t="s">
        <v>12</v>
      </c>
      <c r="E13726" s="5" t="s">
        <v>3430</v>
      </c>
    </row>
    <row r="13727" spans="1:5" x14ac:dyDescent="0.25">
      <c r="A13727" s="5">
        <f>13719</f>
      </c>
      <c r="B13727" s="5" t="s">
        <v>12998</v>
      </c>
      <c r="C13727" s="5" t="s">
        <v>11</v>
      </c>
      <c r="D13727" s="5" t="s">
        <v>12</v>
      </c>
      <c r="E13727" s="5" t="s">
        <v>3430</v>
      </c>
    </row>
    <row r="13728" spans="1:5" x14ac:dyDescent="0.25">
      <c r="A13728" s="5">
        <f>13720</f>
      </c>
      <c r="B13728" s="5" t="s">
        <v>12999</v>
      </c>
      <c r="C13728" s="5" t="s">
        <v>11</v>
      </c>
      <c r="D13728" s="5" t="s">
        <v>12</v>
      </c>
      <c r="E13728" s="5" t="s">
        <v>3430</v>
      </c>
    </row>
    <row r="13729" spans="1:5" x14ac:dyDescent="0.25">
      <c r="A13729" s="5">
        <f>13721</f>
      </c>
      <c r="B13729" s="5" t="s">
        <v>13000</v>
      </c>
      <c r="C13729" s="5" t="s">
        <v>11</v>
      </c>
      <c r="D13729" s="5" t="s">
        <v>12</v>
      </c>
      <c r="E13729" s="5" t="s">
        <v>3430</v>
      </c>
    </row>
    <row r="13730" spans="1:5" x14ac:dyDescent="0.25">
      <c r="A13730" s="5">
        <f>13722</f>
      </c>
      <c r="B13730" s="5" t="s">
        <v>13001</v>
      </c>
      <c r="C13730" s="5" t="s">
        <v>11</v>
      </c>
      <c r="D13730" s="5" t="s">
        <v>12</v>
      </c>
      <c r="E13730" s="5" t="s">
        <v>3430</v>
      </c>
    </row>
    <row r="13731" spans="1:5" x14ac:dyDescent="0.25">
      <c r="A13731" s="5">
        <f>13723</f>
      </c>
      <c r="B13731" s="5" t="s">
        <v>13002</v>
      </c>
      <c r="C13731" s="5" t="s">
        <v>11</v>
      </c>
      <c r="D13731" s="5" t="s">
        <v>12</v>
      </c>
      <c r="E13731" s="5" t="s">
        <v>3430</v>
      </c>
    </row>
    <row r="13732" spans="1:5" x14ac:dyDescent="0.25">
      <c r="A13732" s="5">
        <f>13724</f>
      </c>
      <c r="B13732" s="5" t="s">
        <v>13003</v>
      </c>
      <c r="C13732" s="5" t="s">
        <v>11</v>
      </c>
      <c r="D13732" s="5" t="s">
        <v>12</v>
      </c>
      <c r="E13732" s="5" t="s">
        <v>3430</v>
      </c>
    </row>
    <row r="13733" spans="1:5" x14ac:dyDescent="0.25">
      <c r="A13733" s="5">
        <f>13725</f>
      </c>
      <c r="B13733" s="5" t="s">
        <v>13004</v>
      </c>
      <c r="C13733" s="5" t="s">
        <v>11</v>
      </c>
      <c r="D13733" s="5" t="s">
        <v>12</v>
      </c>
      <c r="E13733" s="5" t="s">
        <v>3430</v>
      </c>
    </row>
    <row r="13734" spans="1:5" x14ac:dyDescent="0.25">
      <c r="A13734" s="5">
        <f>13726</f>
      </c>
      <c r="B13734" s="5" t="s">
        <v>13005</v>
      </c>
      <c r="C13734" s="5" t="s">
        <v>11</v>
      </c>
      <c r="D13734" s="5" t="s">
        <v>12</v>
      </c>
      <c r="E13734" s="5" t="s">
        <v>3430</v>
      </c>
    </row>
    <row r="13735" spans="1:5" x14ac:dyDescent="0.25">
      <c r="A13735" s="5">
        <f>13727</f>
      </c>
      <c r="B13735" s="5" t="s">
        <v>13006</v>
      </c>
      <c r="C13735" s="5" t="s">
        <v>11</v>
      </c>
      <c r="D13735" s="5" t="s">
        <v>12</v>
      </c>
      <c r="E13735" s="5" t="s">
        <v>3430</v>
      </c>
    </row>
    <row r="13736" spans="1:5" x14ac:dyDescent="0.25">
      <c r="A13736" s="5">
        <f>13728</f>
      </c>
      <c r="B13736" s="5" t="s">
        <v>13007</v>
      </c>
      <c r="C13736" s="5" t="s">
        <v>11</v>
      </c>
      <c r="D13736" s="5" t="s">
        <v>12</v>
      </c>
      <c r="E13736" s="5" t="s">
        <v>3430</v>
      </c>
    </row>
    <row r="13737" spans="1:5" x14ac:dyDescent="0.25">
      <c r="A13737" s="5">
        <f>13729</f>
      </c>
      <c r="B13737" s="5" t="s">
        <v>13008</v>
      </c>
      <c r="C13737" s="5" t="s">
        <v>11</v>
      </c>
      <c r="D13737" s="5" t="s">
        <v>12</v>
      </c>
      <c r="E13737" s="5" t="s">
        <v>3430</v>
      </c>
    </row>
    <row r="13738" spans="1:5" x14ac:dyDescent="0.25">
      <c r="A13738" s="5">
        <f>13730</f>
      </c>
      <c r="B13738" s="5" t="s">
        <v>13009</v>
      </c>
      <c r="C13738" s="5" t="s">
        <v>11</v>
      </c>
      <c r="D13738" s="5" t="s">
        <v>12</v>
      </c>
      <c r="E13738" s="5" t="s">
        <v>3430</v>
      </c>
    </row>
    <row r="13739" spans="1:5" x14ac:dyDescent="0.25">
      <c r="A13739" s="5">
        <f>13731</f>
      </c>
      <c r="B13739" s="5" t="s">
        <v>13010</v>
      </c>
      <c r="C13739" s="5" t="s">
        <v>11</v>
      </c>
      <c r="D13739" s="5" t="s">
        <v>12</v>
      </c>
      <c r="E13739" s="5" t="s">
        <v>3430</v>
      </c>
    </row>
    <row r="13740" spans="1:5" x14ac:dyDescent="0.25">
      <c r="A13740" s="5">
        <f>13732</f>
      </c>
      <c r="B13740" s="5" t="s">
        <v>13011</v>
      </c>
      <c r="C13740" s="5" t="s">
        <v>11</v>
      </c>
      <c r="D13740" s="5" t="s">
        <v>12</v>
      </c>
      <c r="E13740" s="5" t="s">
        <v>3430</v>
      </c>
    </row>
    <row r="13741" spans="1:5" x14ac:dyDescent="0.25">
      <c r="A13741" s="5">
        <f>13733</f>
      </c>
      <c r="B13741" s="5" t="s">
        <v>13012</v>
      </c>
      <c r="C13741" s="5" t="s">
        <v>11</v>
      </c>
      <c r="D13741" s="5" t="s">
        <v>12</v>
      </c>
      <c r="E13741" s="5" t="s">
        <v>3430</v>
      </c>
    </row>
    <row r="13742" spans="1:5" x14ac:dyDescent="0.25">
      <c r="A13742" s="5">
        <f>13734</f>
      </c>
      <c r="B13742" s="5" t="s">
        <v>13013</v>
      </c>
      <c r="C13742" s="5" t="s">
        <v>11</v>
      </c>
      <c r="D13742" s="5" t="s">
        <v>12</v>
      </c>
      <c r="E13742" s="5" t="s">
        <v>3430</v>
      </c>
    </row>
    <row r="13743" spans="1:5" x14ac:dyDescent="0.25">
      <c r="A13743" s="5">
        <f>13735</f>
      </c>
      <c r="B13743" s="5" t="s">
        <v>13014</v>
      </c>
      <c r="C13743" s="5" t="s">
        <v>11</v>
      </c>
      <c r="D13743" s="5" t="s">
        <v>12</v>
      </c>
      <c r="E13743" s="5" t="s">
        <v>3430</v>
      </c>
    </row>
    <row r="13744" spans="1:5" x14ac:dyDescent="0.25">
      <c r="A13744" s="5">
        <f>13736</f>
      </c>
      <c r="B13744" s="5" t="s">
        <v>13015</v>
      </c>
      <c r="C13744" s="5" t="s">
        <v>11</v>
      </c>
      <c r="D13744" s="5" t="s">
        <v>12</v>
      </c>
      <c r="E13744" s="5" t="s">
        <v>3608</v>
      </c>
    </row>
    <row r="13745" spans="1:5" x14ac:dyDescent="0.25">
      <c r="A13745" s="5">
        <f>13737</f>
      </c>
      <c r="B13745" s="5" t="s">
        <v>13016</v>
      </c>
      <c r="C13745" s="5" t="s">
        <v>11</v>
      </c>
      <c r="D13745" s="5" t="s">
        <v>12</v>
      </c>
      <c r="E13745" s="5" t="s">
        <v>3608</v>
      </c>
    </row>
    <row r="13746" spans="1:5" x14ac:dyDescent="0.25">
      <c r="A13746" s="5">
        <f>13738</f>
      </c>
      <c r="B13746" s="5" t="s">
        <v>13017</v>
      </c>
      <c r="C13746" s="5" t="s">
        <v>11</v>
      </c>
      <c r="D13746" s="5" t="s">
        <v>12</v>
      </c>
      <c r="E13746" s="5" t="s">
        <v>3608</v>
      </c>
    </row>
    <row r="13747" spans="1:5" x14ac:dyDescent="0.25">
      <c r="A13747" s="5">
        <f>13739</f>
      </c>
      <c r="B13747" s="5" t="s">
        <v>13018</v>
      </c>
      <c r="C13747" s="5" t="s">
        <v>11</v>
      </c>
      <c r="D13747" s="5" t="s">
        <v>12</v>
      </c>
      <c r="E13747" s="5" t="s">
        <v>3608</v>
      </c>
    </row>
    <row r="13748" spans="1:5" x14ac:dyDescent="0.25">
      <c r="A13748" s="5">
        <f>13740</f>
      </c>
      <c r="B13748" s="5" t="s">
        <v>13019</v>
      </c>
      <c r="C13748" s="5" t="s">
        <v>11</v>
      </c>
      <c r="D13748" s="5" t="s">
        <v>12</v>
      </c>
      <c r="E13748" s="5" t="s">
        <v>3608</v>
      </c>
    </row>
    <row r="13749" spans="1:5" x14ac:dyDescent="0.25">
      <c r="A13749" s="5">
        <f>13741</f>
      </c>
      <c r="B13749" s="5" t="s">
        <v>13020</v>
      </c>
      <c r="C13749" s="5" t="s">
        <v>11</v>
      </c>
      <c r="D13749" s="5" t="s">
        <v>12</v>
      </c>
      <c r="E13749" s="5" t="s">
        <v>2645</v>
      </c>
    </row>
    <row r="13750" spans="1:5" x14ac:dyDescent="0.25">
      <c r="A13750" s="5">
        <f>13742</f>
      </c>
      <c r="B13750" s="5" t="s">
        <v>13021</v>
      </c>
      <c r="C13750" s="5" t="s">
        <v>11</v>
      </c>
      <c r="D13750" s="5" t="s">
        <v>12</v>
      </c>
      <c r="E13750" s="5" t="s">
        <v>9553</v>
      </c>
    </row>
    <row r="13751" spans="1:5" x14ac:dyDescent="0.25">
      <c r="A13751" s="5">
        <f>13743</f>
      </c>
      <c r="B13751" s="5" t="s">
        <v>13022</v>
      </c>
      <c r="C13751" s="5" t="s">
        <v>11</v>
      </c>
      <c r="D13751" s="5" t="s">
        <v>12</v>
      </c>
      <c r="E13751" s="5" t="s">
        <v>2318</v>
      </c>
    </row>
    <row r="13752" spans="1:5" x14ac:dyDescent="0.25">
      <c r="A13752" s="5">
        <f>13744</f>
      </c>
      <c r="B13752" s="5" t="s">
        <v>13023</v>
      </c>
      <c r="C13752" s="5" t="s">
        <v>11</v>
      </c>
      <c r="D13752" s="5" t="s">
        <v>12</v>
      </c>
      <c r="E13752" s="5" t="s">
        <v>3759</v>
      </c>
    </row>
    <row r="13753" spans="1:5" x14ac:dyDescent="0.25">
      <c r="A13753" s="5">
        <f>13745</f>
      </c>
      <c r="B13753" s="5" t="s">
        <v>13024</v>
      </c>
      <c r="C13753" s="5" t="s">
        <v>11</v>
      </c>
      <c r="D13753" s="5" t="s">
        <v>12</v>
      </c>
      <c r="E13753" s="5" t="s">
        <v>2409</v>
      </c>
    </row>
    <row r="13754" spans="1:5" x14ac:dyDescent="0.25">
      <c r="A13754" s="5">
        <f>13746</f>
      </c>
      <c r="B13754" s="5" t="s">
        <v>13025</v>
      </c>
      <c r="C13754" s="5" t="s">
        <v>11</v>
      </c>
      <c r="D13754" s="5" t="s">
        <v>12</v>
      </c>
      <c r="E13754" s="5" t="s">
        <v>2253</v>
      </c>
    </row>
    <row r="13755" spans="1:5" x14ac:dyDescent="0.25">
      <c r="A13755" s="5">
        <f>13747</f>
      </c>
      <c r="B13755" s="5" t="s">
        <v>13026</v>
      </c>
      <c r="C13755" s="5" t="s">
        <v>11</v>
      </c>
      <c r="D13755" s="5" t="s">
        <v>12</v>
      </c>
      <c r="E13755" s="5" t="s">
        <v>4286</v>
      </c>
    </row>
    <row r="13756" spans="1:5" x14ac:dyDescent="0.25">
      <c r="A13756" s="5">
        <f>13748</f>
      </c>
      <c r="B13756" s="5" t="s">
        <v>13027</v>
      </c>
      <c r="C13756" s="5" t="s">
        <v>11</v>
      </c>
      <c r="D13756" s="5" t="s">
        <v>12</v>
      </c>
      <c r="E13756" s="5" t="s">
        <v>3709</v>
      </c>
    </row>
    <row r="13757" spans="1:5" x14ac:dyDescent="0.25">
      <c r="A13757" s="5">
        <f>13749</f>
      </c>
      <c r="B13757" s="5" t="s">
        <v>13028</v>
      </c>
      <c r="C13757" s="5" t="s">
        <v>11</v>
      </c>
      <c r="D13757" s="5" t="s">
        <v>12</v>
      </c>
      <c r="E13757" s="5" t="s">
        <v>2624</v>
      </c>
    </row>
    <row r="13758" spans="1:5" x14ac:dyDescent="0.25">
      <c r="A13758" s="5">
        <f>13750</f>
      </c>
      <c r="B13758" s="5" t="s">
        <v>13029</v>
      </c>
      <c r="C13758" s="5" t="s">
        <v>11</v>
      </c>
      <c r="D13758" s="5" t="s">
        <v>12</v>
      </c>
      <c r="E13758" s="5" t="s">
        <v>2386</v>
      </c>
    </row>
    <row r="13759" spans="1:5" x14ac:dyDescent="0.25">
      <c r="A13759" s="5">
        <f>13751</f>
      </c>
      <c r="B13759" s="5" t="s">
        <v>13030</v>
      </c>
      <c r="C13759" s="5" t="s">
        <v>11</v>
      </c>
      <c r="D13759" s="5" t="s">
        <v>12</v>
      </c>
      <c r="E13759" s="5" t="s">
        <v>10562</v>
      </c>
    </row>
    <row r="13760" spans="1:5" x14ac:dyDescent="0.25">
      <c r="A13760" s="5">
        <f>13752</f>
      </c>
      <c r="B13760" s="5" t="s">
        <v>13031</v>
      </c>
      <c r="C13760" s="5" t="s">
        <v>11</v>
      </c>
      <c r="D13760" s="5" t="s">
        <v>12</v>
      </c>
      <c r="E13760" s="5" t="s">
        <v>2582</v>
      </c>
    </row>
    <row r="13761" spans="1:5" x14ac:dyDescent="0.25">
      <c r="A13761" s="5">
        <f>13753</f>
      </c>
      <c r="B13761" s="5" t="s">
        <v>13032</v>
      </c>
      <c r="C13761" s="5" t="s">
        <v>11</v>
      </c>
      <c r="D13761" s="5" t="s">
        <v>12</v>
      </c>
      <c r="E13761" s="5" t="s">
        <v>3583</v>
      </c>
    </row>
    <row r="13762" spans="1:5" x14ac:dyDescent="0.25">
      <c r="A13762" s="5">
        <f>13754</f>
      </c>
      <c r="B13762" s="5" t="s">
        <v>13033</v>
      </c>
      <c r="C13762" s="5" t="s">
        <v>11</v>
      </c>
      <c r="D13762" s="5" t="s">
        <v>12</v>
      </c>
      <c r="E13762" s="5" t="s">
        <v>2394</v>
      </c>
    </row>
    <row r="13763" spans="1:5" x14ac:dyDescent="0.25">
      <c r="A13763" s="5">
        <f>13755</f>
      </c>
      <c r="B13763" s="5" t="s">
        <v>13034</v>
      </c>
      <c r="C13763" s="5" t="s">
        <v>11</v>
      </c>
      <c r="D13763" s="5" t="s">
        <v>12</v>
      </c>
      <c r="E13763" s="5" t="s">
        <v>732</v>
      </c>
    </row>
    <row r="13764" spans="1:5" x14ac:dyDescent="0.25">
      <c r="A13764" s="5">
        <f>13756</f>
      </c>
      <c r="B13764" s="5" t="s">
        <v>13035</v>
      </c>
      <c r="C13764" s="5" t="s">
        <v>11</v>
      </c>
      <c r="D13764" s="5" t="s">
        <v>12</v>
      </c>
      <c r="E13764" s="5" t="s">
        <v>3709</v>
      </c>
    </row>
    <row r="13765" spans="1:5" x14ac:dyDescent="0.25">
      <c r="A13765" s="5">
        <f>13757</f>
      </c>
      <c r="B13765" s="5" t="s">
        <v>13036</v>
      </c>
      <c r="C13765" s="5" t="s">
        <v>11</v>
      </c>
      <c r="D13765" s="5" t="s">
        <v>12</v>
      </c>
      <c r="E13765" s="5" t="s">
        <v>2873</v>
      </c>
    </row>
    <row r="13766" spans="1:5" x14ac:dyDescent="0.25">
      <c r="A13766" s="5">
        <f>13758</f>
      </c>
      <c r="B13766" s="5" t="s">
        <v>13037</v>
      </c>
      <c r="C13766" s="5" t="s">
        <v>11</v>
      </c>
      <c r="D13766" s="5" t="s">
        <v>12</v>
      </c>
      <c r="E13766" s="5" t="s">
        <v>2641</v>
      </c>
    </row>
    <row r="13767" spans="1:5" x14ac:dyDescent="0.25">
      <c r="A13767" s="5">
        <f>13759</f>
      </c>
      <c r="B13767" s="5" t="s">
        <v>13038</v>
      </c>
      <c r="C13767" s="5" t="s">
        <v>11</v>
      </c>
      <c r="D13767" s="5" t="s">
        <v>12</v>
      </c>
      <c r="E13767" s="5" t="s">
        <v>2823</v>
      </c>
    </row>
    <row r="13768" spans="1:5" x14ac:dyDescent="0.25">
      <c r="A13768" s="5">
        <f>13760</f>
      </c>
      <c r="B13768" s="5" t="s">
        <v>13039</v>
      </c>
      <c r="C13768" s="5" t="s">
        <v>11</v>
      </c>
      <c r="D13768" s="5" t="s">
        <v>12</v>
      </c>
      <c r="E13768" s="5" t="s">
        <v>2400</v>
      </c>
    </row>
    <row r="13769" spans="1:5" x14ac:dyDescent="0.25">
      <c r="A13769" s="5">
        <f>13761</f>
      </c>
      <c r="B13769" s="5" t="s">
        <v>13040</v>
      </c>
      <c r="C13769" s="5" t="s">
        <v>11</v>
      </c>
      <c r="D13769" s="5" t="s">
        <v>12</v>
      </c>
      <c r="E13769" s="5" t="s">
        <v>3674</v>
      </c>
    </row>
    <row r="13770" spans="1:5" x14ac:dyDescent="0.25">
      <c r="A13770" s="5">
        <f>13762</f>
      </c>
      <c r="B13770" s="5" t="s">
        <v>13041</v>
      </c>
      <c r="C13770" s="5" t="s">
        <v>11</v>
      </c>
      <c r="D13770" s="5" t="s">
        <v>12</v>
      </c>
      <c r="E13770" s="5" t="s">
        <v>3524</v>
      </c>
    </row>
    <row r="13771" spans="1:5" x14ac:dyDescent="0.25">
      <c r="A13771" s="5">
        <f>13763</f>
      </c>
      <c r="B13771" s="5" t="s">
        <v>13042</v>
      </c>
      <c r="C13771" s="5" t="s">
        <v>11</v>
      </c>
      <c r="D13771" s="5" t="s">
        <v>12</v>
      </c>
      <c r="E13771" s="5" t="s">
        <v>3518</v>
      </c>
    </row>
    <row r="13772" spans="1:5" x14ac:dyDescent="0.25">
      <c r="A13772" s="5">
        <f>13764</f>
      </c>
      <c r="B13772" s="5" t="s">
        <v>13043</v>
      </c>
      <c r="C13772" s="5" t="s">
        <v>11</v>
      </c>
      <c r="D13772" s="5" t="s">
        <v>12</v>
      </c>
      <c r="E13772" s="5" t="s">
        <v>2616</v>
      </c>
    </row>
    <row r="13773" spans="1:5" x14ac:dyDescent="0.25">
      <c r="A13773" s="5">
        <f>13765</f>
      </c>
      <c r="B13773" s="5" t="s">
        <v>13044</v>
      </c>
      <c r="C13773" s="5" t="s">
        <v>11</v>
      </c>
      <c r="D13773" s="5" t="s">
        <v>12</v>
      </c>
      <c r="E13773" s="5" t="s">
        <v>849</v>
      </c>
    </row>
    <row r="13774" spans="1:5" x14ac:dyDescent="0.25">
      <c r="A13774" s="5">
        <f>13766</f>
      </c>
      <c r="B13774" s="5" t="s">
        <v>13045</v>
      </c>
      <c r="C13774" s="5" t="s">
        <v>11</v>
      </c>
      <c r="D13774" s="5" t="s">
        <v>12</v>
      </c>
      <c r="E13774" s="5" t="s">
        <v>2307</v>
      </c>
    </row>
    <row r="13775" spans="1:5" x14ac:dyDescent="0.25">
      <c r="A13775" s="5">
        <f>13767</f>
      </c>
      <c r="B13775" s="5" t="s">
        <v>13046</v>
      </c>
      <c r="C13775" s="5" t="s">
        <v>11</v>
      </c>
      <c r="D13775" s="5" t="s">
        <v>12</v>
      </c>
      <c r="E13775" s="5" t="s">
        <v>10683</v>
      </c>
    </row>
    <row r="13776" spans="1:5" x14ac:dyDescent="0.25">
      <c r="A13776" s="5">
        <f>13768</f>
      </c>
      <c r="B13776" s="5" t="s">
        <v>13047</v>
      </c>
      <c r="C13776" s="5" t="s">
        <v>11</v>
      </c>
      <c r="D13776" s="5" t="s">
        <v>12</v>
      </c>
      <c r="E13776" s="5" t="s">
        <v>9553</v>
      </c>
    </row>
    <row r="13777" spans="1:5" x14ac:dyDescent="0.25">
      <c r="A13777" s="5">
        <f>13769</f>
      </c>
      <c r="B13777" s="5" t="s">
        <v>13048</v>
      </c>
      <c r="C13777" s="5" t="s">
        <v>11</v>
      </c>
      <c r="D13777" s="5" t="s">
        <v>12</v>
      </c>
      <c r="E13777" s="5" t="s">
        <v>4075</v>
      </c>
    </row>
    <row r="13778" spans="1:5" x14ac:dyDescent="0.25">
      <c r="A13778" s="5">
        <f>13770</f>
      </c>
      <c r="B13778" s="5" t="s">
        <v>13049</v>
      </c>
      <c r="C13778" s="5" t="s">
        <v>11</v>
      </c>
      <c r="D13778" s="5" t="s">
        <v>12</v>
      </c>
      <c r="E13778" s="5" t="s">
        <v>3543</v>
      </c>
    </row>
    <row r="13779" spans="1:5" x14ac:dyDescent="0.25">
      <c r="A13779" s="5">
        <f>13771</f>
      </c>
      <c r="B13779" s="5" t="s">
        <v>13050</v>
      </c>
      <c r="C13779" s="5" t="s">
        <v>11</v>
      </c>
      <c r="D13779" s="5" t="s">
        <v>12</v>
      </c>
      <c r="E13779" s="5" t="s">
        <v>2622</v>
      </c>
    </row>
    <row r="13780" spans="1:5" x14ac:dyDescent="0.25">
      <c r="A13780" s="5">
        <f>13772</f>
      </c>
      <c r="B13780" s="5" t="s">
        <v>13051</v>
      </c>
      <c r="C13780" s="5" t="s">
        <v>11</v>
      </c>
      <c r="D13780" s="5" t="s">
        <v>12</v>
      </c>
      <c r="E13780" s="5" t="s">
        <v>885</v>
      </c>
    </row>
    <row r="13781" spans="1:5" x14ac:dyDescent="0.25">
      <c r="A13781" s="5">
        <f>13773</f>
      </c>
      <c r="B13781" s="5" t="s">
        <v>13052</v>
      </c>
      <c r="C13781" s="5" t="s">
        <v>11</v>
      </c>
      <c r="D13781" s="5" t="s">
        <v>12</v>
      </c>
      <c r="E13781" s="5" t="s">
        <v>2386</v>
      </c>
    </row>
    <row r="13782" spans="1:5" x14ac:dyDescent="0.25">
      <c r="A13782" s="5">
        <f>13774</f>
      </c>
      <c r="B13782" s="5" t="s">
        <v>13053</v>
      </c>
      <c r="C13782" s="5" t="s">
        <v>11</v>
      </c>
      <c r="D13782" s="5" t="s">
        <v>12</v>
      </c>
      <c r="E13782" s="5" t="s">
        <v>3530</v>
      </c>
    </row>
    <row r="13783" spans="1:5" x14ac:dyDescent="0.25">
      <c r="A13783" s="5">
        <f>13775</f>
      </c>
      <c r="B13783" s="5" t="s">
        <v>13054</v>
      </c>
      <c r="C13783" s="5" t="s">
        <v>11</v>
      </c>
      <c r="D13783" s="5" t="s">
        <v>12</v>
      </c>
      <c r="E13783" s="5" t="s">
        <v>2381</v>
      </c>
    </row>
    <row r="13784" spans="1:5" x14ac:dyDescent="0.25">
      <c r="A13784" s="5">
        <f>13776</f>
      </c>
      <c r="B13784" s="5" t="s">
        <v>13055</v>
      </c>
      <c r="C13784" s="5" t="s">
        <v>11</v>
      </c>
      <c r="D13784" s="5" t="s">
        <v>12</v>
      </c>
      <c r="E13784" s="5" t="s">
        <v>3606</v>
      </c>
    </row>
    <row r="13785" spans="1:5" x14ac:dyDescent="0.25">
      <c r="A13785" s="5">
        <f>13777</f>
      </c>
      <c r="B13785" s="5" t="s">
        <v>13056</v>
      </c>
      <c r="C13785" s="5" t="s">
        <v>11</v>
      </c>
      <c r="D13785" s="5" t="s">
        <v>12</v>
      </c>
      <c r="E13785" s="5" t="s">
        <v>4142</v>
      </c>
    </row>
    <row r="13786" spans="1:5" x14ac:dyDescent="0.25">
      <c r="A13786" s="5">
        <f>13778</f>
      </c>
      <c r="B13786" s="5" t="s">
        <v>13057</v>
      </c>
      <c r="C13786" s="5" t="s">
        <v>11</v>
      </c>
      <c r="D13786" s="5" t="s">
        <v>12</v>
      </c>
      <c r="E13786" s="5" t="s">
        <v>1034</v>
      </c>
    </row>
    <row r="13787" spans="1:5" x14ac:dyDescent="0.25">
      <c r="A13787" s="5">
        <f>13779</f>
      </c>
      <c r="B13787" s="5" t="s">
        <v>13058</v>
      </c>
      <c r="C13787" s="5" t="s">
        <v>11</v>
      </c>
      <c r="D13787" s="5" t="s">
        <v>12</v>
      </c>
      <c r="E13787" s="5" t="s">
        <v>2381</v>
      </c>
    </row>
    <row r="13788" spans="1:5" x14ac:dyDescent="0.25">
      <c r="A13788" s="5">
        <f>13780</f>
      </c>
      <c r="B13788" s="5" t="s">
        <v>13059</v>
      </c>
      <c r="C13788" s="5" t="s">
        <v>11</v>
      </c>
      <c r="D13788" s="5" t="s">
        <v>12</v>
      </c>
      <c r="E13788" s="5" t="s">
        <v>2381</v>
      </c>
    </row>
    <row r="13789" spans="1:5" x14ac:dyDescent="0.25">
      <c r="A13789" s="5">
        <f>13781</f>
      </c>
      <c r="B13789" s="5" t="s">
        <v>13060</v>
      </c>
      <c r="C13789" s="5" t="s">
        <v>11</v>
      </c>
      <c r="D13789" s="5" t="s">
        <v>12</v>
      </c>
      <c r="E13789" s="5" t="s">
        <v>10705</v>
      </c>
    </row>
    <row r="13790" spans="1:5" x14ac:dyDescent="0.25">
      <c r="A13790" s="5">
        <f>13782</f>
      </c>
      <c r="B13790" s="5" t="s">
        <v>13061</v>
      </c>
      <c r="C13790" s="5" t="s">
        <v>11</v>
      </c>
      <c r="D13790" s="5" t="s">
        <v>12</v>
      </c>
      <c r="E13790" s="5" t="s">
        <v>1060</v>
      </c>
    </row>
    <row r="13791" spans="1:5" x14ac:dyDescent="0.25">
      <c r="A13791" s="5">
        <f>13783</f>
      </c>
      <c r="B13791" s="5" t="s">
        <v>13062</v>
      </c>
      <c r="C13791" s="5" t="s">
        <v>11</v>
      </c>
      <c r="D13791" s="5" t="s">
        <v>12</v>
      </c>
      <c r="E13791" s="5" t="s">
        <v>3493</v>
      </c>
    </row>
    <row r="13792" spans="1:5" x14ac:dyDescent="0.25">
      <c r="A13792" s="5">
        <f>13784</f>
      </c>
      <c r="B13792" s="5" t="s">
        <v>13063</v>
      </c>
      <c r="C13792" s="5" t="s">
        <v>11</v>
      </c>
      <c r="D13792" s="5" t="s">
        <v>12</v>
      </c>
      <c r="E13792" s="5" t="s">
        <v>4156</v>
      </c>
    </row>
    <row r="13793" spans="1:5" x14ac:dyDescent="0.25">
      <c r="A13793" s="5">
        <f>13785</f>
      </c>
      <c r="B13793" s="5" t="s">
        <v>13064</v>
      </c>
      <c r="C13793" s="5" t="s">
        <v>11</v>
      </c>
      <c r="D13793" s="5" t="s">
        <v>12</v>
      </c>
      <c r="E13793" s="5" t="s">
        <v>853</v>
      </c>
    </row>
    <row r="13794" spans="1:5" x14ac:dyDescent="0.25">
      <c r="A13794" s="5">
        <f>13786</f>
      </c>
      <c r="B13794" s="5" t="s">
        <v>13065</v>
      </c>
      <c r="C13794" s="5" t="s">
        <v>11</v>
      </c>
      <c r="D13794" s="5" t="s">
        <v>12</v>
      </c>
      <c r="E13794" s="5" t="s">
        <v>3571</v>
      </c>
    </row>
    <row r="13795" spans="1:5" x14ac:dyDescent="0.25">
      <c r="A13795" s="5">
        <f>13787</f>
      </c>
      <c r="B13795" s="5" t="s">
        <v>13066</v>
      </c>
      <c r="C13795" s="5" t="s">
        <v>11</v>
      </c>
      <c r="D13795" s="5" t="s">
        <v>12</v>
      </c>
      <c r="E13795" s="5" t="s">
        <v>2639</v>
      </c>
    </row>
    <row r="13796" spans="1:5" x14ac:dyDescent="0.25">
      <c r="A13796" s="5">
        <f>13788</f>
      </c>
      <c r="B13796" s="5" t="s">
        <v>13067</v>
      </c>
      <c r="C13796" s="5" t="s">
        <v>11</v>
      </c>
      <c r="D13796" s="5" t="s">
        <v>12</v>
      </c>
      <c r="E13796" s="5" t="s">
        <v>2639</v>
      </c>
    </row>
    <row r="13797" spans="1:5" x14ac:dyDescent="0.25">
      <c r="A13797" s="5">
        <f>13789</f>
      </c>
      <c r="B13797" s="5" t="s">
        <v>13068</v>
      </c>
      <c r="C13797" s="5" t="s">
        <v>11</v>
      </c>
      <c r="D13797" s="5" t="s">
        <v>12</v>
      </c>
      <c r="E13797" s="5" t="s">
        <v>2639</v>
      </c>
    </row>
    <row r="13798" spans="1:5" x14ac:dyDescent="0.25">
      <c r="A13798" s="5">
        <f>13790</f>
      </c>
      <c r="B13798" s="5" t="s">
        <v>13069</v>
      </c>
      <c r="C13798" s="5" t="s">
        <v>11</v>
      </c>
      <c r="D13798" s="5" t="s">
        <v>12</v>
      </c>
      <c r="E13798" s="5" t="s">
        <v>2639</v>
      </c>
    </row>
    <row r="13799" spans="1:5" x14ac:dyDescent="0.25">
      <c r="A13799" s="5">
        <f>13791</f>
      </c>
      <c r="B13799" s="5" t="s">
        <v>13070</v>
      </c>
      <c r="C13799" s="5" t="s">
        <v>11</v>
      </c>
      <c r="D13799" s="5" t="s">
        <v>12</v>
      </c>
      <c r="E13799" s="5" t="s">
        <v>2639</v>
      </c>
    </row>
    <row r="13800" spans="1:5" x14ac:dyDescent="0.25">
      <c r="A13800" s="5">
        <f>13792</f>
      </c>
      <c r="B13800" s="5" t="s">
        <v>13071</v>
      </c>
      <c r="C13800" s="5" t="s">
        <v>11</v>
      </c>
      <c r="D13800" s="5" t="s">
        <v>12</v>
      </c>
      <c r="E13800" s="5" t="s">
        <v>2639</v>
      </c>
    </row>
    <row r="13801" spans="1:5" x14ac:dyDescent="0.25">
      <c r="A13801" s="5">
        <f>13793</f>
      </c>
      <c r="B13801" s="5" t="s">
        <v>13072</v>
      </c>
      <c r="C13801" s="5" t="s">
        <v>11</v>
      </c>
      <c r="D13801" s="5" t="s">
        <v>12</v>
      </c>
      <c r="E13801" s="5" t="s">
        <v>2639</v>
      </c>
    </row>
    <row r="13802" spans="1:5" x14ac:dyDescent="0.25">
      <c r="A13802" s="5">
        <f>13794</f>
      </c>
      <c r="B13802" s="5" t="s">
        <v>13073</v>
      </c>
      <c r="C13802" s="5" t="s">
        <v>11</v>
      </c>
      <c r="D13802" s="5" t="s">
        <v>12</v>
      </c>
      <c r="E13802" s="5" t="s">
        <v>2639</v>
      </c>
    </row>
    <row r="13803" spans="1:5" x14ac:dyDescent="0.25">
      <c r="A13803" s="5">
        <f>13795</f>
      </c>
      <c r="B13803" s="5" t="s">
        <v>13074</v>
      </c>
      <c r="C13803" s="5" t="s">
        <v>11</v>
      </c>
      <c r="D13803" s="5" t="s">
        <v>12</v>
      </c>
      <c r="E13803" s="5" t="s">
        <v>2639</v>
      </c>
    </row>
    <row r="13804" spans="1:5" x14ac:dyDescent="0.25">
      <c r="A13804" s="5">
        <f>13796</f>
      </c>
      <c r="B13804" s="5" t="s">
        <v>13075</v>
      </c>
      <c r="C13804" s="5" t="s">
        <v>11</v>
      </c>
      <c r="D13804" s="5" t="s">
        <v>12</v>
      </c>
      <c r="E13804" s="5" t="s">
        <v>2639</v>
      </c>
    </row>
    <row r="13805" spans="1:5" x14ac:dyDescent="0.25">
      <c r="A13805" s="5">
        <f>13797</f>
      </c>
      <c r="B13805" s="5" t="s">
        <v>13076</v>
      </c>
      <c r="C13805" s="5" t="s">
        <v>11</v>
      </c>
      <c r="D13805" s="5" t="s">
        <v>12</v>
      </c>
      <c r="E13805" s="5" t="s">
        <v>2639</v>
      </c>
    </row>
    <row r="13806" spans="1:5" x14ac:dyDescent="0.25">
      <c r="A13806" s="5">
        <f>13798</f>
      </c>
      <c r="B13806" s="5" t="s">
        <v>13077</v>
      </c>
      <c r="C13806" s="5" t="s">
        <v>11</v>
      </c>
      <c r="D13806" s="5" t="s">
        <v>12</v>
      </c>
      <c r="E13806" s="5" t="s">
        <v>2639</v>
      </c>
    </row>
    <row r="13807" spans="1:5" x14ac:dyDescent="0.25">
      <c r="A13807" s="5">
        <f>13799</f>
      </c>
      <c r="B13807" s="5" t="s">
        <v>13078</v>
      </c>
      <c r="C13807" s="5" t="s">
        <v>11</v>
      </c>
      <c r="D13807" s="5" t="s">
        <v>12</v>
      </c>
      <c r="E13807" s="5" t="s">
        <v>2639</v>
      </c>
    </row>
    <row r="13808" spans="1:5" x14ac:dyDescent="0.25">
      <c r="A13808" s="5">
        <f>13800</f>
      </c>
      <c r="B13808" s="5" t="s">
        <v>13079</v>
      </c>
      <c r="C13808" s="5" t="s">
        <v>11</v>
      </c>
      <c r="D13808" s="5" t="s">
        <v>12</v>
      </c>
      <c r="E13808" s="5" t="s">
        <v>2639</v>
      </c>
    </row>
    <row r="13809" spans="1:5" x14ac:dyDescent="0.25">
      <c r="A13809" s="5">
        <f>13801</f>
      </c>
      <c r="B13809" s="5" t="s">
        <v>13080</v>
      </c>
      <c r="C13809" s="5" t="s">
        <v>11</v>
      </c>
      <c r="D13809" s="5" t="s">
        <v>12</v>
      </c>
      <c r="E13809" s="5" t="s">
        <v>2639</v>
      </c>
    </row>
    <row r="13810" spans="1:5" x14ac:dyDescent="0.25">
      <c r="A13810" s="5">
        <f>13802</f>
      </c>
      <c r="B13810" s="5" t="s">
        <v>13081</v>
      </c>
      <c r="C13810" s="5" t="s">
        <v>11</v>
      </c>
      <c r="D13810" s="5" t="s">
        <v>12</v>
      </c>
      <c r="E13810" s="5" t="s">
        <v>2639</v>
      </c>
    </row>
    <row r="13811" spans="1:5" x14ac:dyDescent="0.25">
      <c r="A13811" s="5">
        <f>13803</f>
      </c>
      <c r="B13811" s="5" t="s">
        <v>13082</v>
      </c>
      <c r="C13811" s="5" t="s">
        <v>11</v>
      </c>
      <c r="D13811" s="5" t="s">
        <v>12</v>
      </c>
      <c r="E13811" s="5" t="s">
        <v>2639</v>
      </c>
    </row>
    <row r="13812" spans="1:5" x14ac:dyDescent="0.25">
      <c r="A13812" s="5">
        <f>13804</f>
      </c>
      <c r="B13812" s="5" t="s">
        <v>13083</v>
      </c>
      <c r="C13812" s="5" t="s">
        <v>11</v>
      </c>
      <c r="D13812" s="5" t="s">
        <v>12</v>
      </c>
      <c r="E13812" s="5" t="s">
        <v>2639</v>
      </c>
    </row>
    <row r="13813" spans="1:5" x14ac:dyDescent="0.25">
      <c r="A13813" s="5">
        <f>13805</f>
      </c>
      <c r="B13813" s="5" t="s">
        <v>13084</v>
      </c>
      <c r="C13813" s="5" t="s">
        <v>11</v>
      </c>
      <c r="D13813" s="5" t="s">
        <v>12</v>
      </c>
      <c r="E13813" s="5" t="s">
        <v>2639</v>
      </c>
    </row>
    <row r="13814" spans="1:5" x14ac:dyDescent="0.25">
      <c r="A13814" s="5">
        <f>13806</f>
      </c>
      <c r="B13814" s="5" t="s">
        <v>13085</v>
      </c>
      <c r="C13814" s="5" t="s">
        <v>11</v>
      </c>
      <c r="D13814" s="5" t="s">
        <v>12</v>
      </c>
      <c r="E13814" s="5" t="s">
        <v>2639</v>
      </c>
    </row>
    <row r="13815" spans="1:5" x14ac:dyDescent="0.25">
      <c r="A13815" s="5">
        <f>13807</f>
      </c>
      <c r="B13815" s="5" t="s">
        <v>13086</v>
      </c>
      <c r="C13815" s="5" t="s">
        <v>11</v>
      </c>
      <c r="D13815" s="5" t="s">
        <v>12</v>
      </c>
      <c r="E13815" s="5" t="s">
        <v>2639</v>
      </c>
    </row>
    <row r="13816" spans="1:5" x14ac:dyDescent="0.25">
      <c r="A13816" s="5">
        <f>13808</f>
      </c>
      <c r="B13816" s="5" t="s">
        <v>13087</v>
      </c>
      <c r="C13816" s="5" t="s">
        <v>11</v>
      </c>
      <c r="D13816" s="5" t="s">
        <v>12</v>
      </c>
      <c r="E13816" s="5" t="s">
        <v>2639</v>
      </c>
    </row>
    <row r="13817" spans="1:5" x14ac:dyDescent="0.25">
      <c r="A13817" s="5">
        <f>13809</f>
      </c>
      <c r="B13817" s="5" t="s">
        <v>13088</v>
      </c>
      <c r="C13817" s="5" t="s">
        <v>11</v>
      </c>
      <c r="D13817" s="5" t="s">
        <v>12</v>
      </c>
      <c r="E13817" s="5" t="s">
        <v>3962</v>
      </c>
    </row>
    <row r="13818" spans="1:5" x14ac:dyDescent="0.25">
      <c r="A13818" s="5">
        <f>13810</f>
      </c>
      <c r="B13818" s="5" t="s">
        <v>13089</v>
      </c>
      <c r="C13818" s="5" t="s">
        <v>11</v>
      </c>
      <c r="D13818" s="5" t="s">
        <v>12</v>
      </c>
      <c r="E13818" s="5" t="s">
        <v>4051</v>
      </c>
    </row>
    <row r="13819" spans="1:5" x14ac:dyDescent="0.25">
      <c r="A13819" s="5">
        <f>13811</f>
      </c>
      <c r="B13819" s="5" t="s">
        <v>13090</v>
      </c>
      <c r="C13819" s="5" t="s">
        <v>11</v>
      </c>
      <c r="D13819" s="5" t="s">
        <v>12</v>
      </c>
      <c r="E13819" s="5" t="s">
        <v>2394</v>
      </c>
    </row>
    <row r="13820" spans="1:5" x14ac:dyDescent="0.25">
      <c r="A13820" s="5">
        <f>13812</f>
      </c>
      <c r="B13820" s="5" t="s">
        <v>13091</v>
      </c>
      <c r="C13820" s="5" t="s">
        <v>11</v>
      </c>
      <c r="D13820" s="5" t="s">
        <v>12</v>
      </c>
      <c r="E13820" s="5" t="s">
        <v>2584</v>
      </c>
    </row>
    <row r="13821" spans="1:5" x14ac:dyDescent="0.25">
      <c r="A13821" s="5">
        <f>13813</f>
      </c>
      <c r="B13821" s="5" t="s">
        <v>13092</v>
      </c>
      <c r="C13821" s="5" t="s">
        <v>11</v>
      </c>
      <c r="D13821" s="5" t="s">
        <v>12</v>
      </c>
      <c r="E13821" s="5" t="s">
        <v>11362</v>
      </c>
    </row>
    <row r="13822" spans="1:5" x14ac:dyDescent="0.25">
      <c r="A13822" s="5">
        <f>13814</f>
      </c>
      <c r="B13822" s="5" t="s">
        <v>13093</v>
      </c>
      <c r="C13822" s="5" t="s">
        <v>11</v>
      </c>
      <c r="D13822" s="5" t="s">
        <v>12</v>
      </c>
      <c r="E13822" s="5" t="s">
        <v>840</v>
      </c>
    </row>
    <row r="13823" spans="1:5" x14ac:dyDescent="0.25">
      <c r="A13823" s="5">
        <f>13815</f>
      </c>
      <c r="B13823" s="5" t="s">
        <v>13094</v>
      </c>
      <c r="C13823" s="5" t="s">
        <v>11</v>
      </c>
      <c r="D13823" s="5" t="s">
        <v>12</v>
      </c>
      <c r="E13823" s="5" t="s">
        <v>3367</v>
      </c>
    </row>
    <row r="13824" spans="1:5" x14ac:dyDescent="0.25">
      <c r="A13824" s="5">
        <f>13816</f>
      </c>
      <c r="B13824" s="5" t="s">
        <v>13095</v>
      </c>
      <c r="C13824" s="5" t="s">
        <v>11</v>
      </c>
      <c r="D13824" s="5" t="s">
        <v>12</v>
      </c>
      <c r="E13824" s="5" t="s">
        <v>2338</v>
      </c>
    </row>
    <row r="13825" spans="1:5" x14ac:dyDescent="0.25">
      <c r="A13825" s="5">
        <f>13817</f>
      </c>
      <c r="B13825" s="5" t="s">
        <v>13096</v>
      </c>
      <c r="C13825" s="5" t="s">
        <v>11</v>
      </c>
      <c r="D13825" s="5" t="s">
        <v>12</v>
      </c>
      <c r="E13825" s="5" t="s">
        <v>2883</v>
      </c>
    </row>
    <row r="13826" spans="1:5" x14ac:dyDescent="0.25">
      <c r="A13826" s="5">
        <f>13818</f>
      </c>
      <c r="B13826" s="5" t="s">
        <v>13097</v>
      </c>
      <c r="C13826" s="5" t="s">
        <v>11</v>
      </c>
      <c r="D13826" s="5" t="s">
        <v>12</v>
      </c>
      <c r="E13826" s="5" t="s">
        <v>3496</v>
      </c>
    </row>
    <row r="13827" spans="1:5" x14ac:dyDescent="0.25">
      <c r="A13827" s="5">
        <f>13819</f>
      </c>
      <c r="B13827" s="5" t="s">
        <v>13098</v>
      </c>
      <c r="C13827" s="5" t="s">
        <v>11</v>
      </c>
      <c r="D13827" s="5" t="s">
        <v>12</v>
      </c>
      <c r="E13827" s="5" t="s">
        <v>762</v>
      </c>
    </row>
    <row r="13828" spans="1:5" x14ac:dyDescent="0.25">
      <c r="A13828" s="5">
        <f>13820</f>
      </c>
      <c r="B13828" s="5" t="s">
        <v>13099</v>
      </c>
      <c r="C13828" s="5" t="s">
        <v>11</v>
      </c>
      <c r="D13828" s="5" t="s">
        <v>12</v>
      </c>
      <c r="E13828" s="5" t="s">
        <v>10622</v>
      </c>
    </row>
    <row r="13829" spans="1:5" x14ac:dyDescent="0.25">
      <c r="A13829" s="5">
        <f>13821</f>
      </c>
      <c r="B13829" s="5" t="s">
        <v>13100</v>
      </c>
      <c r="C13829" s="5" t="s">
        <v>11</v>
      </c>
      <c r="D13829" s="5" t="s">
        <v>12</v>
      </c>
      <c r="E13829" s="5" t="s">
        <v>2821</v>
      </c>
    </row>
    <row r="13830" spans="1:5" x14ac:dyDescent="0.25">
      <c r="A13830" s="5">
        <f>13822</f>
      </c>
      <c r="B13830" s="5" t="s">
        <v>13101</v>
      </c>
      <c r="C13830" s="5" t="s">
        <v>11</v>
      </c>
      <c r="D13830" s="5" t="s">
        <v>12</v>
      </c>
      <c r="E13830" s="5" t="s">
        <v>1036</v>
      </c>
    </row>
    <row r="13831" spans="1:5" x14ac:dyDescent="0.25">
      <c r="A13831" s="5">
        <f>13823</f>
      </c>
      <c r="B13831" s="5" t="s">
        <v>13102</v>
      </c>
      <c r="C13831" s="5" t="s">
        <v>11</v>
      </c>
      <c r="D13831" s="5" t="s">
        <v>12</v>
      </c>
      <c r="E13831" s="5" t="s">
        <v>1022</v>
      </c>
    </row>
    <row r="13832" spans="1:5" x14ac:dyDescent="0.25">
      <c r="A13832" s="5">
        <f>13824</f>
      </c>
      <c r="B13832" s="5" t="s">
        <v>13103</v>
      </c>
      <c r="C13832" s="5" t="s">
        <v>11</v>
      </c>
      <c r="D13832" s="5" t="s">
        <v>12</v>
      </c>
      <c r="E13832" s="5" t="s">
        <v>2298</v>
      </c>
    </row>
    <row r="13833" spans="1:5" x14ac:dyDescent="0.25">
      <c r="A13833" s="5">
        <f>13825</f>
      </c>
      <c r="B13833" s="5" t="s">
        <v>13104</v>
      </c>
      <c r="C13833" s="5" t="s">
        <v>11</v>
      </c>
      <c r="D13833" s="5" t="s">
        <v>12</v>
      </c>
      <c r="E13833" s="5" t="s">
        <v>10618</v>
      </c>
    </row>
    <row r="13834" spans="1:5" x14ac:dyDescent="0.25">
      <c r="A13834" s="5">
        <f>13826</f>
      </c>
      <c r="B13834" s="5" t="s">
        <v>13105</v>
      </c>
      <c r="C13834" s="5" t="s">
        <v>11</v>
      </c>
      <c r="D13834" s="5" t="s">
        <v>12</v>
      </c>
      <c r="E13834" s="5" t="s">
        <v>10618</v>
      </c>
    </row>
    <row r="13835" spans="1:5" x14ac:dyDescent="0.25">
      <c r="A13835" s="5">
        <f>13827</f>
      </c>
      <c r="B13835" s="5" t="s">
        <v>13106</v>
      </c>
      <c r="C13835" s="5" t="s">
        <v>11</v>
      </c>
      <c r="D13835" s="5" t="s">
        <v>12</v>
      </c>
      <c r="E13835" s="5" t="s">
        <v>3610</v>
      </c>
    </row>
    <row r="13836" spans="1:5" x14ac:dyDescent="0.25">
      <c r="A13836" s="5">
        <f>13828</f>
      </c>
      <c r="B13836" s="5" t="s">
        <v>13107</v>
      </c>
      <c r="C13836" s="5" t="s">
        <v>11</v>
      </c>
      <c r="D13836" s="5" t="s">
        <v>12</v>
      </c>
      <c r="E13836" s="5" t="s">
        <v>3610</v>
      </c>
    </row>
    <row r="13837" spans="1:5" x14ac:dyDescent="0.25">
      <c r="A13837" s="5">
        <f>13829</f>
      </c>
      <c r="B13837" s="5" t="s">
        <v>13108</v>
      </c>
      <c r="C13837" s="5" t="s">
        <v>11</v>
      </c>
      <c r="D13837" s="5" t="s">
        <v>12</v>
      </c>
      <c r="E13837" s="5" t="s">
        <v>869</v>
      </c>
    </row>
    <row r="13838" spans="1:5" x14ac:dyDescent="0.25">
      <c r="A13838" s="5">
        <f>13830</f>
      </c>
      <c r="B13838" s="5" t="s">
        <v>13109</v>
      </c>
      <c r="C13838" s="5" t="s">
        <v>11</v>
      </c>
      <c r="D13838" s="5" t="s">
        <v>12</v>
      </c>
      <c r="E13838" s="5" t="s">
        <v>2389</v>
      </c>
    </row>
    <row r="13839" spans="1:5" x14ac:dyDescent="0.25">
      <c r="A13839" s="5">
        <f>13831</f>
      </c>
      <c r="B13839" s="5" t="s">
        <v>13110</v>
      </c>
      <c r="C13839" s="5" t="s">
        <v>11</v>
      </c>
      <c r="D13839" s="5" t="s">
        <v>12</v>
      </c>
      <c r="E13839" s="5" t="s">
        <v>718</v>
      </c>
    </row>
    <row r="13840" spans="1:5" x14ac:dyDescent="0.25">
      <c r="A13840" s="5">
        <f>13832</f>
      </c>
      <c r="B13840" s="5" t="s">
        <v>13111</v>
      </c>
      <c r="C13840" s="5" t="s">
        <v>11</v>
      </c>
      <c r="D13840" s="5" t="s">
        <v>12</v>
      </c>
      <c r="E13840" s="5" t="s">
        <v>718</v>
      </c>
    </row>
    <row r="13841" spans="1:5" x14ac:dyDescent="0.25">
      <c r="A13841" s="5">
        <f>13833</f>
      </c>
      <c r="B13841" s="5" t="s">
        <v>13112</v>
      </c>
      <c r="C13841" s="5" t="s">
        <v>11</v>
      </c>
      <c r="D13841" s="5" t="s">
        <v>12</v>
      </c>
      <c r="E13841" s="5" t="s">
        <v>3438</v>
      </c>
    </row>
    <row r="13842" spans="1:5" x14ac:dyDescent="0.25">
      <c r="A13842" s="5">
        <f>13834</f>
      </c>
      <c r="B13842" s="5" t="s">
        <v>13113</v>
      </c>
      <c r="C13842" s="5" t="s">
        <v>11</v>
      </c>
      <c r="D13842" s="5" t="s">
        <v>12</v>
      </c>
      <c r="E13842" s="5" t="s">
        <v>724</v>
      </c>
    </row>
    <row r="13843" spans="1:5" x14ac:dyDescent="0.25">
      <c r="A13843" s="5">
        <f>13835</f>
      </c>
      <c r="B13843" s="5" t="s">
        <v>13114</v>
      </c>
      <c r="C13843" s="5" t="s">
        <v>11</v>
      </c>
      <c r="D13843" s="5" t="s">
        <v>12</v>
      </c>
      <c r="E13843" s="5" t="s">
        <v>3767</v>
      </c>
    </row>
    <row r="13844" spans="1:5" x14ac:dyDescent="0.25">
      <c r="A13844" s="5">
        <f>13836</f>
      </c>
      <c r="B13844" s="5" t="s">
        <v>13115</v>
      </c>
      <c r="C13844" s="5" t="s">
        <v>11</v>
      </c>
      <c r="D13844" s="5" t="s">
        <v>12</v>
      </c>
      <c r="E13844" s="5" t="s">
        <v>2309</v>
      </c>
    </row>
    <row r="13845" spans="1:5" x14ac:dyDescent="0.25">
      <c r="A13845" s="5">
        <f>13837</f>
      </c>
      <c r="B13845" s="5" t="s">
        <v>13116</v>
      </c>
      <c r="C13845" s="5" t="s">
        <v>11</v>
      </c>
      <c r="D13845" s="5" t="s">
        <v>12</v>
      </c>
      <c r="E13845" s="5" t="s">
        <v>935</v>
      </c>
    </row>
    <row r="13846" spans="1:5" x14ac:dyDescent="0.25">
      <c r="A13846" s="5">
        <f>13838</f>
      </c>
      <c r="B13846" s="5" t="s">
        <v>13117</v>
      </c>
      <c r="C13846" s="5" t="s">
        <v>11</v>
      </c>
      <c r="D13846" s="5" t="s">
        <v>12</v>
      </c>
      <c r="E13846" s="5" t="s">
        <v>2389</v>
      </c>
    </row>
    <row r="13847" spans="1:5" x14ac:dyDescent="0.25">
      <c r="A13847" s="5">
        <f>13839</f>
      </c>
      <c r="B13847" s="5" t="s">
        <v>13118</v>
      </c>
      <c r="C13847" s="5" t="s">
        <v>11</v>
      </c>
      <c r="D13847" s="5" t="s">
        <v>12</v>
      </c>
      <c r="E13847" s="5" t="s">
        <v>3610</v>
      </c>
    </row>
    <row r="13848" spans="1:5" x14ac:dyDescent="0.25">
      <c r="A13848" s="5">
        <f>13840</f>
      </c>
      <c r="B13848" s="5" t="s">
        <v>13119</v>
      </c>
      <c r="C13848" s="5" t="s">
        <v>11</v>
      </c>
      <c r="D13848" s="5" t="s">
        <v>12</v>
      </c>
      <c r="E13848" s="5" t="s">
        <v>787</v>
      </c>
    </row>
    <row r="13849" spans="1:5" x14ac:dyDescent="0.25">
      <c r="A13849" s="5">
        <f>13841</f>
      </c>
      <c r="B13849" s="5" t="s">
        <v>13120</v>
      </c>
      <c r="C13849" s="5" t="s">
        <v>11</v>
      </c>
      <c r="D13849" s="5" t="s">
        <v>12</v>
      </c>
      <c r="E13849" s="5" t="s">
        <v>2622</v>
      </c>
    </row>
    <row r="13850" spans="1:5" x14ac:dyDescent="0.25">
      <c r="A13850" s="5">
        <f>13842</f>
      </c>
      <c r="B13850" s="5" t="s">
        <v>13121</v>
      </c>
      <c r="C13850" s="5" t="s">
        <v>11</v>
      </c>
      <c r="D13850" s="5" t="s">
        <v>12</v>
      </c>
      <c r="E13850" s="5" t="s">
        <v>2622</v>
      </c>
    </row>
    <row r="13851" spans="1:5" x14ac:dyDescent="0.25">
      <c r="A13851" s="5">
        <f>13843</f>
      </c>
      <c r="B13851" s="5" t="s">
        <v>13122</v>
      </c>
      <c r="C13851" s="5" t="s">
        <v>11</v>
      </c>
      <c r="D13851" s="5" t="s">
        <v>12</v>
      </c>
      <c r="E13851" s="5" t="s">
        <v>2622</v>
      </c>
    </row>
    <row r="13852" spans="1:5" x14ac:dyDescent="0.25">
      <c r="A13852" s="5">
        <f>13844</f>
      </c>
      <c r="B13852" s="5" t="s">
        <v>13123</v>
      </c>
      <c r="C13852" s="5" t="s">
        <v>11</v>
      </c>
      <c r="D13852" s="5" t="s">
        <v>12</v>
      </c>
      <c r="E13852" s="5" t="s">
        <v>2622</v>
      </c>
    </row>
    <row r="13853" spans="1:5" x14ac:dyDescent="0.25">
      <c r="A13853" s="5">
        <f>13845</f>
      </c>
      <c r="B13853" s="5" t="s">
        <v>13124</v>
      </c>
      <c r="C13853" s="5" t="s">
        <v>11</v>
      </c>
      <c r="D13853" s="5" t="s">
        <v>12</v>
      </c>
      <c r="E13853" s="5" t="s">
        <v>2622</v>
      </c>
    </row>
    <row r="13854" spans="1:5" x14ac:dyDescent="0.25">
      <c r="A13854" s="5">
        <f>13846</f>
      </c>
      <c r="B13854" s="5" t="s">
        <v>13125</v>
      </c>
      <c r="C13854" s="5" t="s">
        <v>11</v>
      </c>
      <c r="D13854" s="5" t="s">
        <v>12</v>
      </c>
      <c r="E13854" s="5" t="s">
        <v>730</v>
      </c>
    </row>
    <row r="13855" spans="1:5" x14ac:dyDescent="0.25">
      <c r="A13855" s="5">
        <f>13847</f>
      </c>
      <c r="B13855" s="5" t="s">
        <v>13126</v>
      </c>
      <c r="C13855" s="5" t="s">
        <v>11</v>
      </c>
      <c r="D13855" s="5" t="s">
        <v>12</v>
      </c>
      <c r="E13855" s="5" t="s">
        <v>3382</v>
      </c>
    </row>
    <row r="13856" spans="1:5" x14ac:dyDescent="0.25">
      <c r="A13856" s="5">
        <f>13848</f>
      </c>
      <c r="B13856" s="5" t="s">
        <v>13127</v>
      </c>
      <c r="C13856" s="5" t="s">
        <v>11</v>
      </c>
      <c r="D13856" s="5" t="s">
        <v>12</v>
      </c>
      <c r="E13856" s="5" t="s">
        <v>3382</v>
      </c>
    </row>
    <row r="13857" spans="1:5" x14ac:dyDescent="0.25">
      <c r="A13857" s="5">
        <f>13849</f>
      </c>
      <c r="B13857" s="5" t="s">
        <v>13128</v>
      </c>
      <c r="C13857" s="5" t="s">
        <v>11</v>
      </c>
      <c r="D13857" s="5" t="s">
        <v>12</v>
      </c>
      <c r="E13857" s="5" t="s">
        <v>3962</v>
      </c>
    </row>
    <row r="13858" spans="1:5" x14ac:dyDescent="0.25">
      <c r="A13858" s="5">
        <f>13850</f>
      </c>
      <c r="B13858" s="5" t="s">
        <v>13129</v>
      </c>
      <c r="C13858" s="5" t="s">
        <v>11</v>
      </c>
      <c r="D13858" s="5" t="s">
        <v>12</v>
      </c>
      <c r="E13858" s="5" t="s">
        <v>3664</v>
      </c>
    </row>
    <row r="13859" spans="1:5" x14ac:dyDescent="0.25">
      <c r="A13859" s="5">
        <f>13851</f>
      </c>
      <c r="B13859" s="5" t="s">
        <v>13130</v>
      </c>
      <c r="C13859" s="5" t="s">
        <v>11</v>
      </c>
      <c r="D13859" s="5" t="s">
        <v>12</v>
      </c>
      <c r="E13859" s="5" t="s">
        <v>3664</v>
      </c>
    </row>
    <row r="13860" spans="1:5" x14ac:dyDescent="0.25">
      <c r="A13860" s="5">
        <f>13852</f>
      </c>
      <c r="B13860" s="5" t="s">
        <v>13131</v>
      </c>
      <c r="C13860" s="5" t="s">
        <v>11</v>
      </c>
      <c r="D13860" s="5" t="s">
        <v>12</v>
      </c>
      <c r="E13860" s="5" t="s">
        <v>2265</v>
      </c>
    </row>
    <row r="13861" spans="1:5" x14ac:dyDescent="0.25">
      <c r="A13861" s="5">
        <f>13853</f>
      </c>
      <c r="B13861" s="5" t="s">
        <v>13132</v>
      </c>
      <c r="C13861" s="5" t="s">
        <v>11</v>
      </c>
      <c r="D13861" s="5" t="s">
        <v>12</v>
      </c>
      <c r="E13861" s="5" t="s">
        <v>935</v>
      </c>
    </row>
    <row r="13862" spans="1:5" x14ac:dyDescent="0.25">
      <c r="A13862" s="5">
        <f>13854</f>
      </c>
      <c r="B13862" s="5" t="s">
        <v>13133</v>
      </c>
      <c r="C13862" s="5" t="s">
        <v>11</v>
      </c>
      <c r="D13862" s="5" t="s">
        <v>12</v>
      </c>
      <c r="E13862" s="5" t="s">
        <v>787</v>
      </c>
    </row>
    <row r="13863" spans="1:5" x14ac:dyDescent="0.25">
      <c r="A13863" s="5">
        <f>13855</f>
      </c>
      <c r="B13863" s="5" t="s">
        <v>13134</v>
      </c>
      <c r="C13863" s="5" t="s">
        <v>11</v>
      </c>
      <c r="D13863" s="5" t="s">
        <v>12</v>
      </c>
      <c r="E13863" s="5" t="s">
        <v>3674</v>
      </c>
    </row>
    <row r="13864" spans="1:5" x14ac:dyDescent="0.25">
      <c r="A13864" s="5">
        <f>13856</f>
      </c>
      <c r="B13864" s="5" t="s">
        <v>13135</v>
      </c>
      <c r="C13864" s="5" t="s">
        <v>11</v>
      </c>
      <c r="D13864" s="5" t="s">
        <v>12</v>
      </c>
      <c r="E13864" s="5" t="s">
        <v>772</v>
      </c>
    </row>
    <row r="13865" spans="1:5" x14ac:dyDescent="0.25">
      <c r="A13865" s="5">
        <f>13857</f>
      </c>
      <c r="B13865" s="5" t="s">
        <v>13136</v>
      </c>
      <c r="C13865" s="5" t="s">
        <v>11</v>
      </c>
      <c r="D13865" s="5" t="s">
        <v>12</v>
      </c>
      <c r="E13865" s="5" t="s">
        <v>3524</v>
      </c>
    </row>
    <row r="13866" spans="1:5" x14ac:dyDescent="0.25">
      <c r="A13866" s="5">
        <f>13858</f>
      </c>
      <c r="B13866" s="5" t="s">
        <v>13137</v>
      </c>
      <c r="C13866" s="5" t="s">
        <v>11</v>
      </c>
      <c r="D13866" s="5" t="s">
        <v>12</v>
      </c>
      <c r="E13866" s="5" t="s">
        <v>882</v>
      </c>
    </row>
    <row r="13867" spans="1:5" x14ac:dyDescent="0.25">
      <c r="A13867" s="5">
        <f>13859</f>
      </c>
      <c r="B13867" s="5" t="s">
        <v>13138</v>
      </c>
      <c r="C13867" s="5" t="s">
        <v>11</v>
      </c>
      <c r="D13867" s="5" t="s">
        <v>12</v>
      </c>
      <c r="E13867" s="5" t="s">
        <v>4120</v>
      </c>
    </row>
    <row r="13868" spans="1:5" x14ac:dyDescent="0.25">
      <c r="A13868" s="5">
        <f>13860</f>
      </c>
      <c r="B13868" s="5" t="s">
        <v>13139</v>
      </c>
      <c r="C13868" s="5" t="s">
        <v>11</v>
      </c>
      <c r="D13868" s="5" t="s">
        <v>12</v>
      </c>
      <c r="E13868" s="5" t="s">
        <v>4120</v>
      </c>
    </row>
    <row r="13869" spans="1:5" x14ac:dyDescent="0.25">
      <c r="A13869" s="5">
        <f>13861</f>
      </c>
      <c r="B13869" s="5" t="s">
        <v>13140</v>
      </c>
      <c r="C13869" s="5" t="s">
        <v>11</v>
      </c>
      <c r="D13869" s="5" t="s">
        <v>12</v>
      </c>
      <c r="E13869" s="5" t="s">
        <v>2255</v>
      </c>
    </row>
    <row r="13870" spans="1:5" x14ac:dyDescent="0.25">
      <c r="A13870" s="5">
        <f>13862</f>
      </c>
      <c r="B13870" s="5" t="s">
        <v>13141</v>
      </c>
      <c r="C13870" s="5" t="s">
        <v>11</v>
      </c>
      <c r="D13870" s="5" t="s">
        <v>12</v>
      </c>
      <c r="E13870" s="5" t="s">
        <v>9553</v>
      </c>
    </row>
    <row r="13871" spans="1:5" x14ac:dyDescent="0.25">
      <c r="A13871" s="5">
        <f>13863</f>
      </c>
      <c r="B13871" s="5" t="s">
        <v>13142</v>
      </c>
      <c r="C13871" s="5" t="s">
        <v>11</v>
      </c>
      <c r="D13871" s="5" t="s">
        <v>12</v>
      </c>
      <c r="E13871" s="5" t="s">
        <v>4120</v>
      </c>
    </row>
    <row r="13872" spans="1:5" x14ac:dyDescent="0.25">
      <c r="A13872" s="5">
        <f>13864</f>
      </c>
      <c r="B13872" s="5" t="s">
        <v>13143</v>
      </c>
      <c r="C13872" s="5" t="s">
        <v>11</v>
      </c>
      <c r="D13872" s="5" t="s">
        <v>12</v>
      </c>
      <c r="E13872" s="5" t="s">
        <v>3433</v>
      </c>
    </row>
    <row r="13873" spans="1:5" x14ac:dyDescent="0.25">
      <c r="A13873" s="5">
        <f>13865</f>
      </c>
      <c r="B13873" s="5" t="s">
        <v>13144</v>
      </c>
      <c r="C13873" s="5" t="s">
        <v>11</v>
      </c>
      <c r="D13873" s="5" t="s">
        <v>12</v>
      </c>
      <c r="E13873" s="5" t="s">
        <v>2639</v>
      </c>
    </row>
    <row r="13874" spans="1:5" x14ac:dyDescent="0.25">
      <c r="A13874" s="5">
        <f>13866</f>
      </c>
      <c r="B13874" s="5" t="s">
        <v>13145</v>
      </c>
      <c r="C13874" s="5" t="s">
        <v>11</v>
      </c>
      <c r="D13874" s="5" t="s">
        <v>12</v>
      </c>
      <c r="E13874" s="5" t="s">
        <v>2639</v>
      </c>
    </row>
    <row r="13875" spans="1:5" x14ac:dyDescent="0.25">
      <c r="A13875" s="5">
        <f>13867</f>
      </c>
      <c r="B13875" s="5" t="s">
        <v>13146</v>
      </c>
      <c r="C13875" s="5" t="s">
        <v>11</v>
      </c>
      <c r="D13875" s="5" t="s">
        <v>12</v>
      </c>
      <c r="E13875" s="5" t="s">
        <v>2253</v>
      </c>
    </row>
    <row r="13876" spans="1:5" x14ac:dyDescent="0.25">
      <c r="A13876" s="5">
        <f>13868</f>
      </c>
      <c r="B13876" s="5" t="s">
        <v>13147</v>
      </c>
      <c r="C13876" s="5" t="s">
        <v>11</v>
      </c>
      <c r="D13876" s="5" t="s">
        <v>12</v>
      </c>
      <c r="E13876" s="5" t="s">
        <v>993</v>
      </c>
    </row>
    <row r="13877" spans="1:5" x14ac:dyDescent="0.25">
      <c r="A13877" s="5">
        <f>13869</f>
      </c>
      <c r="B13877" s="5" t="s">
        <v>13148</v>
      </c>
      <c r="C13877" s="5" t="s">
        <v>11</v>
      </c>
      <c r="D13877" s="5" t="s">
        <v>12</v>
      </c>
      <c r="E13877" s="5" t="s">
        <v>3376</v>
      </c>
    </row>
    <row r="13878" spans="1:5" x14ac:dyDescent="0.25">
      <c r="A13878" s="5">
        <f>13870</f>
      </c>
      <c r="B13878" s="5" t="s">
        <v>13149</v>
      </c>
      <c r="C13878" s="5" t="s">
        <v>11</v>
      </c>
      <c r="D13878" s="5" t="s">
        <v>12</v>
      </c>
      <c r="E13878" s="5" t="s">
        <v>10574</v>
      </c>
    </row>
    <row r="13879" spans="1:5" x14ac:dyDescent="0.25">
      <c r="A13879" s="5">
        <f>13871</f>
      </c>
      <c r="B13879" s="5" t="s">
        <v>13150</v>
      </c>
      <c r="C13879" s="5" t="s">
        <v>11</v>
      </c>
      <c r="D13879" s="5" t="s">
        <v>12</v>
      </c>
      <c r="E13879" s="5" t="s">
        <v>10574</v>
      </c>
    </row>
    <row r="13880" spans="1:5" x14ac:dyDescent="0.25">
      <c r="A13880" s="5">
        <f>13872</f>
      </c>
      <c r="B13880" s="5" t="s">
        <v>13151</v>
      </c>
      <c r="C13880" s="5" t="s">
        <v>11</v>
      </c>
      <c r="D13880" s="5" t="s">
        <v>12</v>
      </c>
      <c r="E13880" s="5" t="s">
        <v>10562</v>
      </c>
    </row>
    <row r="13881" spans="1:5" x14ac:dyDescent="0.25">
      <c r="A13881" s="5">
        <f>13873</f>
      </c>
      <c r="B13881" s="5" t="s">
        <v>13152</v>
      </c>
      <c r="C13881" s="5" t="s">
        <v>11</v>
      </c>
      <c r="D13881" s="5" t="s">
        <v>12</v>
      </c>
      <c r="E13881" s="5" t="s">
        <v>2584</v>
      </c>
    </row>
    <row r="13882" spans="1:5" x14ac:dyDescent="0.25">
      <c r="A13882" s="5">
        <f>13874</f>
      </c>
      <c r="B13882" s="5" t="s">
        <v>13153</v>
      </c>
      <c r="C13882" s="5" t="s">
        <v>11</v>
      </c>
      <c r="D13882" s="5" t="s">
        <v>12</v>
      </c>
      <c r="E13882" s="5" t="s">
        <v>4130</v>
      </c>
    </row>
    <row r="13883" spans="1:5" x14ac:dyDescent="0.25">
      <c r="A13883" s="5">
        <f>13875</f>
      </c>
      <c r="B13883" s="5" t="s">
        <v>13154</v>
      </c>
      <c r="C13883" s="5" t="s">
        <v>11</v>
      </c>
      <c r="D13883" s="5" t="s">
        <v>12</v>
      </c>
      <c r="E13883" s="5" t="s">
        <v>927</v>
      </c>
    </row>
    <row r="13884" spans="1:5" x14ac:dyDescent="0.25">
      <c r="A13884" s="5">
        <f>13876</f>
      </c>
      <c r="B13884" s="5" t="s">
        <v>13155</v>
      </c>
      <c r="C13884" s="5" t="s">
        <v>11</v>
      </c>
      <c r="D13884" s="5" t="s">
        <v>12</v>
      </c>
      <c r="E13884" s="5" t="s">
        <v>4051</v>
      </c>
    </row>
    <row r="13885" spans="1:5" x14ac:dyDescent="0.25">
      <c r="A13885" s="5">
        <f>13877</f>
      </c>
      <c r="B13885" s="5" t="s">
        <v>13156</v>
      </c>
      <c r="C13885" s="5" t="s">
        <v>11</v>
      </c>
      <c r="D13885" s="5" t="s">
        <v>12</v>
      </c>
      <c r="E13885" s="5" t="s">
        <v>781</v>
      </c>
    </row>
    <row r="13886" spans="1:5" x14ac:dyDescent="0.25">
      <c r="A13886" s="5">
        <f>13878</f>
      </c>
      <c r="B13886" s="5" t="s">
        <v>13157</v>
      </c>
      <c r="C13886" s="5" t="s">
        <v>11</v>
      </c>
      <c r="D13886" s="5" t="s">
        <v>12</v>
      </c>
      <c r="E13886" s="5" t="s">
        <v>10580</v>
      </c>
    </row>
    <row r="13887" spans="1:5" x14ac:dyDescent="0.25">
      <c r="A13887" s="5">
        <f>13879</f>
      </c>
      <c r="B13887" s="5" t="s">
        <v>13158</v>
      </c>
      <c r="C13887" s="5" t="s">
        <v>11</v>
      </c>
      <c r="D13887" s="5" t="s">
        <v>12</v>
      </c>
      <c r="E13887" s="5" t="s">
        <v>4132</v>
      </c>
    </row>
    <row r="13888" spans="1:5" x14ac:dyDescent="0.25">
      <c r="A13888" s="5">
        <f>13880</f>
      </c>
      <c r="B13888" s="5" t="s">
        <v>13159</v>
      </c>
      <c r="C13888" s="5" t="s">
        <v>11</v>
      </c>
      <c r="D13888" s="5" t="s">
        <v>12</v>
      </c>
      <c r="E13888" s="5" t="s">
        <v>787</v>
      </c>
    </row>
    <row r="13889" spans="1:5" x14ac:dyDescent="0.25">
      <c r="A13889" s="5">
        <f>13881</f>
      </c>
      <c r="B13889" s="5" t="s">
        <v>13160</v>
      </c>
      <c r="C13889" s="5" t="s">
        <v>11</v>
      </c>
      <c r="D13889" s="5" t="s">
        <v>12</v>
      </c>
      <c r="E13889" s="5" t="s">
        <v>787</v>
      </c>
    </row>
    <row r="13890" spans="1:5" x14ac:dyDescent="0.25">
      <c r="A13890" s="5">
        <f>13882</f>
      </c>
      <c r="B13890" s="5" t="s">
        <v>13161</v>
      </c>
      <c r="C13890" s="5" t="s">
        <v>11</v>
      </c>
      <c r="D13890" s="5" t="s">
        <v>12</v>
      </c>
      <c r="E13890" s="5" t="s">
        <v>787</v>
      </c>
    </row>
    <row r="13891" spans="1:5" x14ac:dyDescent="0.25">
      <c r="A13891" s="5">
        <f>13883</f>
      </c>
      <c r="B13891" s="5" t="s">
        <v>13162</v>
      </c>
      <c r="C13891" s="5" t="s">
        <v>11</v>
      </c>
      <c r="D13891" s="5" t="s">
        <v>12</v>
      </c>
      <c r="E13891" s="5" t="s">
        <v>787</v>
      </c>
    </row>
    <row r="13892" spans="1:5" x14ac:dyDescent="0.25">
      <c r="A13892" s="5">
        <f>13884</f>
      </c>
      <c r="B13892" s="5" t="s">
        <v>13163</v>
      </c>
      <c r="C13892" s="5" t="s">
        <v>11</v>
      </c>
      <c r="D13892" s="5" t="s">
        <v>12</v>
      </c>
      <c r="E13892" s="5" t="s">
        <v>1077</v>
      </c>
    </row>
    <row r="13893" spans="1:5" x14ac:dyDescent="0.25">
      <c r="A13893" s="5">
        <f>13885</f>
      </c>
      <c r="B13893" s="5" t="s">
        <v>13164</v>
      </c>
      <c r="C13893" s="5" t="s">
        <v>11</v>
      </c>
      <c r="D13893" s="5" t="s">
        <v>12</v>
      </c>
      <c r="E13893" s="5" t="s">
        <v>1077</v>
      </c>
    </row>
    <row r="13894" spans="1:5" x14ac:dyDescent="0.25">
      <c r="A13894" s="5">
        <f>13886</f>
      </c>
      <c r="B13894" s="5" t="s">
        <v>13165</v>
      </c>
      <c r="C13894" s="5" t="s">
        <v>11</v>
      </c>
      <c r="D13894" s="5" t="s">
        <v>12</v>
      </c>
      <c r="E13894" s="5" t="s">
        <v>1077</v>
      </c>
    </row>
    <row r="13895" spans="1:5" x14ac:dyDescent="0.25">
      <c r="A13895" s="5">
        <f>13887</f>
      </c>
      <c r="B13895" s="5" t="s">
        <v>13166</v>
      </c>
      <c r="C13895" s="5" t="s">
        <v>11</v>
      </c>
      <c r="D13895" s="5" t="s">
        <v>12</v>
      </c>
      <c r="E13895" s="5" t="s">
        <v>1077</v>
      </c>
    </row>
    <row r="13896" spans="1:5" x14ac:dyDescent="0.25">
      <c r="A13896" s="5">
        <f>13888</f>
      </c>
      <c r="B13896" s="5" t="s">
        <v>13167</v>
      </c>
      <c r="C13896" s="5" t="s">
        <v>11</v>
      </c>
      <c r="D13896" s="5" t="s">
        <v>12</v>
      </c>
      <c r="E13896" s="5" t="s">
        <v>1077</v>
      </c>
    </row>
    <row r="13897" spans="1:5" x14ac:dyDescent="0.25">
      <c r="A13897" s="5">
        <f>13889</f>
      </c>
      <c r="B13897" s="5" t="s">
        <v>13168</v>
      </c>
      <c r="C13897" s="5" t="s">
        <v>11</v>
      </c>
      <c r="D13897" s="5" t="s">
        <v>12</v>
      </c>
      <c r="E13897" s="5" t="s">
        <v>1077</v>
      </c>
    </row>
    <row r="13898" spans="1:5" x14ac:dyDescent="0.25">
      <c r="A13898" s="5">
        <f>13890</f>
      </c>
      <c r="B13898" s="5" t="s">
        <v>13169</v>
      </c>
      <c r="C13898" s="5" t="s">
        <v>11</v>
      </c>
      <c r="D13898" s="5" t="s">
        <v>12</v>
      </c>
      <c r="E13898" s="5" t="s">
        <v>1077</v>
      </c>
    </row>
    <row r="13899" spans="1:5" x14ac:dyDescent="0.25">
      <c r="A13899" s="5">
        <f>13891</f>
      </c>
      <c r="B13899" s="5" t="s">
        <v>13170</v>
      </c>
      <c r="C13899" s="5" t="s">
        <v>11</v>
      </c>
      <c r="D13899" s="5" t="s">
        <v>12</v>
      </c>
      <c r="E13899" s="5" t="s">
        <v>1077</v>
      </c>
    </row>
    <row r="13900" spans="1:5" x14ac:dyDescent="0.25">
      <c r="A13900" s="5">
        <f>13892</f>
      </c>
      <c r="B13900" s="5" t="s">
        <v>13171</v>
      </c>
      <c r="C13900" s="5" t="s">
        <v>11</v>
      </c>
      <c r="D13900" s="5" t="s">
        <v>12</v>
      </c>
      <c r="E13900" s="5" t="s">
        <v>1077</v>
      </c>
    </row>
    <row r="13901" spans="1:5" x14ac:dyDescent="0.25">
      <c r="A13901" s="5">
        <f>13893</f>
      </c>
      <c r="B13901" s="5" t="s">
        <v>13172</v>
      </c>
      <c r="C13901" s="5" t="s">
        <v>11</v>
      </c>
      <c r="D13901" s="5" t="s">
        <v>12</v>
      </c>
      <c r="E13901" s="5" t="s">
        <v>1077</v>
      </c>
    </row>
    <row r="13902" spans="1:5" x14ac:dyDescent="0.25">
      <c r="A13902" s="5">
        <f>13894</f>
      </c>
      <c r="B13902" s="5" t="s">
        <v>13173</v>
      </c>
      <c r="C13902" s="5" t="s">
        <v>11</v>
      </c>
      <c r="D13902" s="5" t="s">
        <v>12</v>
      </c>
      <c r="E13902" s="5" t="s">
        <v>1077</v>
      </c>
    </row>
    <row r="13903" spans="1:5" x14ac:dyDescent="0.25">
      <c r="A13903" s="5">
        <f>13895</f>
      </c>
      <c r="B13903" s="5" t="s">
        <v>13174</v>
      </c>
      <c r="C13903" s="5" t="s">
        <v>11</v>
      </c>
      <c r="D13903" s="5" t="s">
        <v>12</v>
      </c>
      <c r="E13903" s="5" t="s">
        <v>1077</v>
      </c>
    </row>
    <row r="13904" spans="1:5" x14ac:dyDescent="0.25">
      <c r="A13904" s="5">
        <f>13896</f>
      </c>
      <c r="B13904" s="5" t="s">
        <v>13175</v>
      </c>
      <c r="C13904" s="5" t="s">
        <v>11</v>
      </c>
      <c r="D13904" s="5" t="s">
        <v>12</v>
      </c>
      <c r="E13904" s="5" t="s">
        <v>1077</v>
      </c>
    </row>
    <row r="13905" spans="1:5" x14ac:dyDescent="0.25">
      <c r="A13905" s="5">
        <f>13897</f>
      </c>
      <c r="B13905" s="5" t="s">
        <v>13176</v>
      </c>
      <c r="C13905" s="5" t="s">
        <v>11</v>
      </c>
      <c r="D13905" s="5" t="s">
        <v>12</v>
      </c>
      <c r="E13905" s="5" t="s">
        <v>1077</v>
      </c>
    </row>
    <row r="13906" spans="1:5" x14ac:dyDescent="0.25">
      <c r="A13906" s="5">
        <f>13898</f>
      </c>
      <c r="B13906" s="5" t="s">
        <v>13177</v>
      </c>
      <c r="C13906" s="5" t="s">
        <v>11</v>
      </c>
      <c r="D13906" s="5" t="s">
        <v>12</v>
      </c>
      <c r="E13906" s="5" t="s">
        <v>1077</v>
      </c>
    </row>
    <row r="13907" spans="1:5" x14ac:dyDescent="0.25">
      <c r="A13907" s="5">
        <f>13899</f>
      </c>
      <c r="B13907" s="5" t="s">
        <v>13178</v>
      </c>
      <c r="C13907" s="5" t="s">
        <v>11</v>
      </c>
      <c r="D13907" s="5" t="s">
        <v>12</v>
      </c>
      <c r="E13907" s="5" t="s">
        <v>1077</v>
      </c>
    </row>
    <row r="13908" spans="1:5" x14ac:dyDescent="0.25">
      <c r="A13908" s="5">
        <f>13900</f>
      </c>
      <c r="B13908" s="5" t="s">
        <v>13179</v>
      </c>
      <c r="C13908" s="5" t="s">
        <v>11</v>
      </c>
      <c r="D13908" s="5" t="s">
        <v>12</v>
      </c>
      <c r="E13908" s="5" t="s">
        <v>1077</v>
      </c>
    </row>
    <row r="13909" spans="1:5" x14ac:dyDescent="0.25">
      <c r="A13909" s="5">
        <f>13901</f>
      </c>
      <c r="B13909" s="5" t="s">
        <v>13180</v>
      </c>
      <c r="C13909" s="5" t="s">
        <v>11</v>
      </c>
      <c r="D13909" s="5" t="s">
        <v>12</v>
      </c>
      <c r="E13909" s="5" t="s">
        <v>1077</v>
      </c>
    </row>
    <row r="13910" spans="1:5" x14ac:dyDescent="0.25">
      <c r="A13910" s="5">
        <f>13902</f>
      </c>
      <c r="B13910" s="5" t="s">
        <v>13181</v>
      </c>
      <c r="C13910" s="5" t="s">
        <v>11</v>
      </c>
      <c r="D13910" s="5" t="s">
        <v>12</v>
      </c>
      <c r="E13910" s="5" t="s">
        <v>1077</v>
      </c>
    </row>
    <row r="13911" spans="1:5" x14ac:dyDescent="0.25">
      <c r="A13911" s="5">
        <f>13903</f>
      </c>
      <c r="B13911" s="5" t="s">
        <v>13182</v>
      </c>
      <c r="C13911" s="5" t="s">
        <v>11</v>
      </c>
      <c r="D13911" s="5" t="s">
        <v>12</v>
      </c>
      <c r="E13911" s="5" t="s">
        <v>1077</v>
      </c>
    </row>
    <row r="13912" spans="1:5" x14ac:dyDescent="0.25">
      <c r="A13912" s="5">
        <f>13904</f>
      </c>
      <c r="B13912" s="5" t="s">
        <v>13183</v>
      </c>
      <c r="C13912" s="5" t="s">
        <v>11</v>
      </c>
      <c r="D13912" s="5" t="s">
        <v>12</v>
      </c>
      <c r="E13912" s="5" t="s">
        <v>1077</v>
      </c>
    </row>
    <row r="13913" spans="1:5" x14ac:dyDescent="0.25">
      <c r="A13913" s="5">
        <f>13905</f>
      </c>
      <c r="B13913" s="5" t="s">
        <v>13184</v>
      </c>
      <c r="C13913" s="5" t="s">
        <v>11</v>
      </c>
      <c r="D13913" s="5" t="s">
        <v>12</v>
      </c>
      <c r="E13913" s="5" t="s">
        <v>1077</v>
      </c>
    </row>
    <row r="13914" spans="1:5" x14ac:dyDescent="0.25">
      <c r="A13914" s="5">
        <f>13906</f>
      </c>
      <c r="B13914" s="5" t="s">
        <v>13185</v>
      </c>
      <c r="C13914" s="5" t="s">
        <v>11</v>
      </c>
      <c r="D13914" s="5" t="s">
        <v>12</v>
      </c>
      <c r="E13914" s="5" t="s">
        <v>1077</v>
      </c>
    </row>
    <row r="13915" spans="1:5" x14ac:dyDescent="0.25">
      <c r="A13915" s="5">
        <f>13907</f>
      </c>
      <c r="B13915" s="5" t="s">
        <v>13186</v>
      </c>
      <c r="C13915" s="5" t="s">
        <v>11</v>
      </c>
      <c r="D13915" s="5" t="s">
        <v>12</v>
      </c>
      <c r="E13915" s="5" t="s">
        <v>1077</v>
      </c>
    </row>
    <row r="13916" spans="1:5" x14ac:dyDescent="0.25">
      <c r="A13916" s="5">
        <f>13908</f>
      </c>
      <c r="B13916" s="5" t="s">
        <v>13187</v>
      </c>
      <c r="C13916" s="5" t="s">
        <v>11</v>
      </c>
      <c r="D13916" s="5" t="s">
        <v>12</v>
      </c>
      <c r="E13916" s="5" t="s">
        <v>1077</v>
      </c>
    </row>
    <row r="13917" spans="1:5" x14ac:dyDescent="0.25">
      <c r="A13917" s="5">
        <f>13909</f>
      </c>
      <c r="B13917" s="5" t="s">
        <v>13188</v>
      </c>
      <c r="C13917" s="5" t="s">
        <v>11</v>
      </c>
      <c r="D13917" s="5" t="s">
        <v>12</v>
      </c>
      <c r="E13917" s="5" t="s">
        <v>1077</v>
      </c>
    </row>
    <row r="13918" spans="1:5" x14ac:dyDescent="0.25">
      <c r="A13918" s="5">
        <f>13910</f>
      </c>
      <c r="B13918" s="5" t="s">
        <v>13189</v>
      </c>
      <c r="C13918" s="5" t="s">
        <v>11</v>
      </c>
      <c r="D13918" s="5" t="s">
        <v>12</v>
      </c>
      <c r="E13918" s="5" t="s">
        <v>1077</v>
      </c>
    </row>
    <row r="13919" spans="1:5" x14ac:dyDescent="0.25">
      <c r="A13919" s="5">
        <f>13911</f>
      </c>
      <c r="B13919" s="5" t="s">
        <v>13190</v>
      </c>
      <c r="C13919" s="5" t="s">
        <v>11</v>
      </c>
      <c r="D13919" s="5" t="s">
        <v>12</v>
      </c>
      <c r="E13919" s="5" t="s">
        <v>1077</v>
      </c>
    </row>
    <row r="13920" spans="1:5" x14ac:dyDescent="0.25">
      <c r="A13920" s="5">
        <f>13912</f>
      </c>
      <c r="B13920" s="5" t="s">
        <v>13191</v>
      </c>
      <c r="C13920" s="5" t="s">
        <v>11</v>
      </c>
      <c r="D13920" s="5" t="s">
        <v>12</v>
      </c>
      <c r="E13920" s="5" t="s">
        <v>1077</v>
      </c>
    </row>
    <row r="13921" spans="1:5" x14ac:dyDescent="0.25">
      <c r="A13921" s="5">
        <f>13913</f>
      </c>
      <c r="B13921" s="5" t="s">
        <v>13192</v>
      </c>
      <c r="C13921" s="5" t="s">
        <v>11</v>
      </c>
      <c r="D13921" s="5" t="s">
        <v>12</v>
      </c>
      <c r="E13921" s="5" t="s">
        <v>1077</v>
      </c>
    </row>
    <row r="13922" spans="1:5" x14ac:dyDescent="0.25">
      <c r="A13922" s="5">
        <f>13914</f>
      </c>
      <c r="B13922" s="5" t="s">
        <v>13193</v>
      </c>
      <c r="C13922" s="5" t="s">
        <v>11</v>
      </c>
      <c r="D13922" s="5" t="s">
        <v>12</v>
      </c>
      <c r="E13922" s="5" t="s">
        <v>1077</v>
      </c>
    </row>
    <row r="13923" spans="1:5" x14ac:dyDescent="0.25">
      <c r="A13923" s="5">
        <f>13915</f>
      </c>
      <c r="B13923" s="5" t="s">
        <v>13194</v>
      </c>
      <c r="C13923" s="5" t="s">
        <v>11</v>
      </c>
      <c r="D13923" s="5" t="s">
        <v>12</v>
      </c>
      <c r="E13923" s="5" t="s">
        <v>1077</v>
      </c>
    </row>
    <row r="13924" spans="1:5" x14ac:dyDescent="0.25">
      <c r="A13924" s="5">
        <f>13916</f>
      </c>
      <c r="B13924" s="5" t="s">
        <v>13195</v>
      </c>
      <c r="C13924" s="5" t="s">
        <v>11</v>
      </c>
      <c r="D13924" s="5" t="s">
        <v>12</v>
      </c>
      <c r="E13924" s="5" t="s">
        <v>1077</v>
      </c>
    </row>
    <row r="13925" spans="1:5" x14ac:dyDescent="0.25">
      <c r="A13925" s="5">
        <f>13917</f>
      </c>
      <c r="B13925" s="5" t="s">
        <v>13196</v>
      </c>
      <c r="C13925" s="5" t="s">
        <v>11</v>
      </c>
      <c r="D13925" s="5" t="s">
        <v>12</v>
      </c>
      <c r="E13925" s="5" t="s">
        <v>1077</v>
      </c>
    </row>
    <row r="13926" spans="1:5" x14ac:dyDescent="0.25">
      <c r="A13926" s="5">
        <f>13918</f>
      </c>
      <c r="B13926" s="5" t="s">
        <v>13197</v>
      </c>
      <c r="C13926" s="5" t="s">
        <v>11</v>
      </c>
      <c r="D13926" s="5" t="s">
        <v>12</v>
      </c>
      <c r="E13926" s="5" t="s">
        <v>1077</v>
      </c>
    </row>
    <row r="13927" spans="1:5" x14ac:dyDescent="0.25">
      <c r="A13927" s="5">
        <f>13919</f>
      </c>
      <c r="B13927" s="5" t="s">
        <v>13198</v>
      </c>
      <c r="C13927" s="5" t="s">
        <v>11</v>
      </c>
      <c r="D13927" s="5" t="s">
        <v>12</v>
      </c>
      <c r="E13927" s="5" t="s">
        <v>1077</v>
      </c>
    </row>
    <row r="13928" spans="1:5" x14ac:dyDescent="0.25">
      <c r="A13928" s="5">
        <f>13920</f>
      </c>
      <c r="B13928" s="5" t="s">
        <v>13199</v>
      </c>
      <c r="C13928" s="5" t="s">
        <v>11</v>
      </c>
      <c r="D13928" s="5" t="s">
        <v>12</v>
      </c>
      <c r="E13928" s="5" t="s">
        <v>1077</v>
      </c>
    </row>
    <row r="13929" spans="1:5" x14ac:dyDescent="0.25">
      <c r="A13929" s="5">
        <f>13921</f>
      </c>
      <c r="B13929" s="5" t="s">
        <v>13200</v>
      </c>
      <c r="C13929" s="5" t="s">
        <v>11</v>
      </c>
      <c r="D13929" s="5" t="s">
        <v>12</v>
      </c>
      <c r="E13929" s="5" t="s">
        <v>1077</v>
      </c>
    </row>
    <row r="13930" spans="1:5" x14ac:dyDescent="0.25">
      <c r="A13930" s="5">
        <f>13922</f>
      </c>
      <c r="B13930" s="5" t="s">
        <v>13201</v>
      </c>
      <c r="C13930" s="5" t="s">
        <v>11</v>
      </c>
      <c r="D13930" s="5" t="s">
        <v>12</v>
      </c>
      <c r="E13930" s="5" t="s">
        <v>1077</v>
      </c>
    </row>
    <row r="13931" spans="1:5" x14ac:dyDescent="0.25">
      <c r="A13931" s="5">
        <f>13923</f>
      </c>
      <c r="B13931" s="5" t="s">
        <v>13202</v>
      </c>
      <c r="C13931" s="5" t="s">
        <v>11</v>
      </c>
      <c r="D13931" s="5" t="s">
        <v>12</v>
      </c>
      <c r="E13931" s="5" t="s">
        <v>1077</v>
      </c>
    </row>
    <row r="13932" spans="1:5" x14ac:dyDescent="0.25">
      <c r="A13932" s="5">
        <f>13924</f>
      </c>
      <c r="B13932" s="5" t="s">
        <v>13203</v>
      </c>
      <c r="C13932" s="5" t="s">
        <v>11</v>
      </c>
      <c r="D13932" s="5" t="s">
        <v>12</v>
      </c>
      <c r="E13932" s="5" t="s">
        <v>1077</v>
      </c>
    </row>
    <row r="13933" spans="1:5" x14ac:dyDescent="0.25">
      <c r="A13933" s="5">
        <f>13925</f>
      </c>
      <c r="B13933" s="5" t="s">
        <v>13204</v>
      </c>
      <c r="C13933" s="5" t="s">
        <v>11</v>
      </c>
      <c r="D13933" s="5" t="s">
        <v>12</v>
      </c>
      <c r="E13933" s="5" t="s">
        <v>1077</v>
      </c>
    </row>
    <row r="13934" spans="1:5" x14ac:dyDescent="0.25">
      <c r="A13934" s="5">
        <f>13926</f>
      </c>
      <c r="B13934" s="5" t="s">
        <v>13205</v>
      </c>
      <c r="C13934" s="5" t="s">
        <v>11</v>
      </c>
      <c r="D13934" s="5" t="s">
        <v>12</v>
      </c>
      <c r="E13934" s="5" t="s">
        <v>1077</v>
      </c>
    </row>
    <row r="13935" spans="1:5" x14ac:dyDescent="0.25">
      <c r="A13935" s="5">
        <f>13927</f>
      </c>
      <c r="B13935" s="5" t="s">
        <v>13206</v>
      </c>
      <c r="C13935" s="5" t="s">
        <v>11</v>
      </c>
      <c r="D13935" s="5" t="s">
        <v>12</v>
      </c>
      <c r="E13935" s="5" t="s">
        <v>1077</v>
      </c>
    </row>
    <row r="13936" spans="1:5" x14ac:dyDescent="0.25">
      <c r="A13936" s="5">
        <f>13928</f>
      </c>
      <c r="B13936" s="5" t="s">
        <v>13207</v>
      </c>
      <c r="C13936" s="5" t="s">
        <v>11</v>
      </c>
      <c r="D13936" s="5" t="s">
        <v>12</v>
      </c>
      <c r="E13936" s="5" t="s">
        <v>1077</v>
      </c>
    </row>
    <row r="13937" spans="1:5" x14ac:dyDescent="0.25">
      <c r="A13937" s="5">
        <f>13929</f>
      </c>
      <c r="B13937" s="5" t="s">
        <v>13208</v>
      </c>
      <c r="C13937" s="5" t="s">
        <v>11</v>
      </c>
      <c r="D13937" s="5" t="s">
        <v>12</v>
      </c>
      <c r="E13937" s="5" t="s">
        <v>3367</v>
      </c>
    </row>
    <row r="13938" spans="1:5" x14ac:dyDescent="0.25">
      <c r="A13938" s="5">
        <f>13930</f>
      </c>
      <c r="B13938" s="5" t="s">
        <v>13209</v>
      </c>
      <c r="C13938" s="5" t="s">
        <v>11</v>
      </c>
      <c r="D13938" s="5" t="s">
        <v>12</v>
      </c>
      <c r="E13938" s="5" t="s">
        <v>2823</v>
      </c>
    </row>
    <row r="13939" spans="1:5" x14ac:dyDescent="0.25">
      <c r="A13939" s="5">
        <f>13931</f>
      </c>
      <c r="B13939" s="5" t="s">
        <v>13210</v>
      </c>
      <c r="C13939" s="5" t="s">
        <v>11</v>
      </c>
      <c r="D13939" s="5" t="s">
        <v>12</v>
      </c>
      <c r="E13939" s="5" t="s">
        <v>2249</v>
      </c>
    </row>
    <row r="13940" spans="1:5" x14ac:dyDescent="0.25">
      <c r="A13940" s="5">
        <f>13932</f>
      </c>
      <c r="B13940" s="5" t="s">
        <v>13211</v>
      </c>
      <c r="C13940" s="5" t="s">
        <v>11</v>
      </c>
      <c r="D13940" s="5" t="s">
        <v>12</v>
      </c>
      <c r="E13940" s="5" t="s">
        <v>3924</v>
      </c>
    </row>
    <row r="13941" spans="1:5" x14ac:dyDescent="0.25">
      <c r="A13941" s="5">
        <f>13933</f>
      </c>
      <c r="B13941" s="5" t="s">
        <v>13212</v>
      </c>
      <c r="C13941" s="5" t="s">
        <v>11</v>
      </c>
      <c r="D13941" s="5" t="s">
        <v>12</v>
      </c>
      <c r="E13941" s="5" t="s">
        <v>9553</v>
      </c>
    </row>
    <row r="13942" spans="1:5" x14ac:dyDescent="0.25">
      <c r="A13942" s="5">
        <f>13934</f>
      </c>
      <c r="B13942" s="5" t="s">
        <v>13213</v>
      </c>
      <c r="C13942" s="5" t="s">
        <v>11</v>
      </c>
      <c r="D13942" s="5" t="s">
        <v>12</v>
      </c>
      <c r="E13942" s="5" t="s">
        <v>4286</v>
      </c>
    </row>
    <row r="13943" spans="1:5" x14ac:dyDescent="0.25">
      <c r="A13943" s="5">
        <f>13935</f>
      </c>
      <c r="B13943" s="5" t="s">
        <v>13214</v>
      </c>
      <c r="C13943" s="5" t="s">
        <v>11</v>
      </c>
      <c r="D13943" s="5" t="s">
        <v>12</v>
      </c>
      <c r="E13943" s="5" t="s">
        <v>972</v>
      </c>
    </row>
    <row r="13944" spans="1:5" x14ac:dyDescent="0.25">
      <c r="A13944" s="5">
        <f>13936</f>
      </c>
      <c r="B13944" s="5" t="s">
        <v>13215</v>
      </c>
      <c r="C13944" s="5" t="s">
        <v>11</v>
      </c>
      <c r="D13944" s="5" t="s">
        <v>12</v>
      </c>
      <c r="E13944" s="5" t="s">
        <v>3626</v>
      </c>
    </row>
    <row r="13945" spans="1:5" x14ac:dyDescent="0.25">
      <c r="A13945" s="5">
        <f>13937</f>
      </c>
      <c r="B13945" s="5" t="s">
        <v>13216</v>
      </c>
      <c r="C13945" s="5" t="s">
        <v>11</v>
      </c>
      <c r="D13945" s="5" t="s">
        <v>12</v>
      </c>
      <c r="E13945" s="5" t="s">
        <v>3516</v>
      </c>
    </row>
    <row r="13946" spans="1:5" x14ac:dyDescent="0.25">
      <c r="A13946" s="5">
        <f>13938</f>
      </c>
      <c r="B13946" s="5" t="s">
        <v>13217</v>
      </c>
      <c r="C13946" s="5" t="s">
        <v>11</v>
      </c>
      <c r="D13946" s="5" t="s">
        <v>12</v>
      </c>
      <c r="E13946" s="5" t="s">
        <v>2829</v>
      </c>
    </row>
    <row r="13947" spans="1:5" x14ac:dyDescent="0.25">
      <c r="A13947" s="5">
        <f>13939</f>
      </c>
      <c r="B13947" s="5" t="s">
        <v>13218</v>
      </c>
      <c r="C13947" s="5" t="s">
        <v>11</v>
      </c>
      <c r="D13947" s="5" t="s">
        <v>12</v>
      </c>
      <c r="E13947" s="5" t="s">
        <v>2333</v>
      </c>
    </row>
    <row r="13948" spans="1:5" x14ac:dyDescent="0.25">
      <c r="A13948" s="5">
        <f>13940</f>
      </c>
      <c r="B13948" s="5" t="s">
        <v>13219</v>
      </c>
      <c r="C13948" s="5" t="s">
        <v>11</v>
      </c>
      <c r="D13948" s="5" t="s">
        <v>12</v>
      </c>
      <c r="E13948" s="5" t="s">
        <v>2333</v>
      </c>
    </row>
    <row r="13949" spans="1:5" x14ac:dyDescent="0.25">
      <c r="A13949" s="5">
        <f>13941</f>
      </c>
      <c r="B13949" s="5" t="s">
        <v>13220</v>
      </c>
      <c r="C13949" s="5" t="s">
        <v>11</v>
      </c>
      <c r="D13949" s="5" t="s">
        <v>12</v>
      </c>
      <c r="E13949" s="5" t="s">
        <v>2333</v>
      </c>
    </row>
    <row r="13950" spans="1:5" x14ac:dyDescent="0.25">
      <c r="A13950" s="5">
        <f>13942</f>
      </c>
      <c r="B13950" s="5" t="s">
        <v>13221</v>
      </c>
      <c r="C13950" s="5" t="s">
        <v>11</v>
      </c>
      <c r="D13950" s="5" t="s">
        <v>12</v>
      </c>
      <c r="E13950" s="5" t="s">
        <v>2333</v>
      </c>
    </row>
    <row r="13951" spans="1:5" x14ac:dyDescent="0.25">
      <c r="A13951" s="5">
        <f>13943</f>
      </c>
      <c r="B13951" s="5" t="s">
        <v>13222</v>
      </c>
      <c r="C13951" s="5" t="s">
        <v>11</v>
      </c>
      <c r="D13951" s="5" t="s">
        <v>12</v>
      </c>
      <c r="E13951" s="5" t="s">
        <v>2333</v>
      </c>
    </row>
    <row r="13952" spans="1:5" x14ac:dyDescent="0.25">
      <c r="A13952" s="5">
        <f>13944</f>
      </c>
      <c r="B13952" s="5" t="s">
        <v>13223</v>
      </c>
      <c r="C13952" s="5" t="s">
        <v>11</v>
      </c>
      <c r="D13952" s="5" t="s">
        <v>12</v>
      </c>
      <c r="E13952" s="5" t="s">
        <v>2333</v>
      </c>
    </row>
    <row r="13953" spans="1:5" x14ac:dyDescent="0.25">
      <c r="A13953" s="5">
        <f>13945</f>
      </c>
      <c r="B13953" s="5" t="s">
        <v>13224</v>
      </c>
      <c r="C13953" s="5" t="s">
        <v>11</v>
      </c>
      <c r="D13953" s="5" t="s">
        <v>12</v>
      </c>
      <c r="E13953" s="5" t="s">
        <v>2333</v>
      </c>
    </row>
    <row r="13954" spans="1:5" x14ac:dyDescent="0.25">
      <c r="A13954" s="5">
        <f>13946</f>
      </c>
      <c r="B13954" s="5" t="s">
        <v>13225</v>
      </c>
      <c r="C13954" s="5" t="s">
        <v>11</v>
      </c>
      <c r="D13954" s="5" t="s">
        <v>12</v>
      </c>
      <c r="E13954" s="5" t="s">
        <v>3962</v>
      </c>
    </row>
    <row r="13955" spans="1:5" x14ac:dyDescent="0.25">
      <c r="A13955" s="5">
        <f>13947</f>
      </c>
      <c r="B13955" s="5" t="s">
        <v>13226</v>
      </c>
      <c r="C13955" s="5" t="s">
        <v>11</v>
      </c>
      <c r="D13955" s="5" t="s">
        <v>12</v>
      </c>
      <c r="E13955" s="5" t="s">
        <v>3545</v>
      </c>
    </row>
    <row r="13956" spans="1:5" x14ac:dyDescent="0.25">
      <c r="A13956" s="5">
        <f>13948</f>
      </c>
      <c r="B13956" s="5" t="s">
        <v>13227</v>
      </c>
      <c r="C13956" s="5" t="s">
        <v>11</v>
      </c>
      <c r="D13956" s="5" t="s">
        <v>12</v>
      </c>
      <c r="E13956" s="5" t="s">
        <v>4105</v>
      </c>
    </row>
    <row r="13957" spans="1:5" x14ac:dyDescent="0.25">
      <c r="A13957" s="5">
        <f>13949</f>
      </c>
      <c r="B13957" s="5" t="s">
        <v>13228</v>
      </c>
      <c r="C13957" s="5" t="s">
        <v>11</v>
      </c>
      <c r="D13957" s="5" t="s">
        <v>12</v>
      </c>
      <c r="E13957" s="5" t="s">
        <v>4105</v>
      </c>
    </row>
    <row r="13958" spans="1:5" x14ac:dyDescent="0.25">
      <c r="A13958" s="5">
        <f>13950</f>
      </c>
      <c r="B13958" s="5" t="s">
        <v>13229</v>
      </c>
      <c r="C13958" s="5" t="s">
        <v>11</v>
      </c>
      <c r="D13958" s="5" t="s">
        <v>12</v>
      </c>
      <c r="E13958" s="5" t="s">
        <v>2577</v>
      </c>
    </row>
    <row r="13959" spans="1:5" x14ac:dyDescent="0.25">
      <c r="A13959" s="5">
        <f>13951</f>
      </c>
      <c r="B13959" s="5" t="s">
        <v>13230</v>
      </c>
      <c r="C13959" s="5" t="s">
        <v>11</v>
      </c>
      <c r="D13959" s="5" t="s">
        <v>12</v>
      </c>
      <c r="E13959" s="5" t="s">
        <v>927</v>
      </c>
    </row>
    <row r="13960" spans="1:5" x14ac:dyDescent="0.25">
      <c r="A13960" s="5">
        <f>13952</f>
      </c>
      <c r="B13960" s="5" t="s">
        <v>13231</v>
      </c>
      <c r="C13960" s="5" t="s">
        <v>11</v>
      </c>
      <c r="D13960" s="5" t="s">
        <v>12</v>
      </c>
      <c r="E13960" s="5" t="s">
        <v>3493</v>
      </c>
    </row>
    <row r="13961" spans="1:5" x14ac:dyDescent="0.25">
      <c r="A13961" s="5">
        <f>13953</f>
      </c>
      <c r="B13961" s="5" t="s">
        <v>13232</v>
      </c>
      <c r="C13961" s="5" t="s">
        <v>11</v>
      </c>
      <c r="D13961" s="5" t="s">
        <v>12</v>
      </c>
      <c r="E13961" s="5" t="s">
        <v>3621</v>
      </c>
    </row>
    <row r="13962" spans="1:5" x14ac:dyDescent="0.25">
      <c r="A13962" s="5">
        <f>13954</f>
      </c>
      <c r="B13962" s="5" t="s">
        <v>13233</v>
      </c>
      <c r="C13962" s="5" t="s">
        <v>11</v>
      </c>
      <c r="D13962" s="5" t="s">
        <v>12</v>
      </c>
      <c r="E13962" s="5" t="s">
        <v>873</v>
      </c>
    </row>
    <row r="13963" spans="1:5" x14ac:dyDescent="0.25">
      <c r="A13963" s="5">
        <f>13955</f>
      </c>
      <c r="B13963" s="5" t="s">
        <v>13234</v>
      </c>
      <c r="C13963" s="5" t="s">
        <v>11</v>
      </c>
      <c r="D13963" s="5" t="s">
        <v>12</v>
      </c>
      <c r="E13963" s="5" t="s">
        <v>3765</v>
      </c>
    </row>
    <row r="13964" spans="1:5" x14ac:dyDescent="0.25">
      <c r="A13964" s="5">
        <f>13956</f>
      </c>
      <c r="B13964" s="5" t="s">
        <v>13235</v>
      </c>
      <c r="C13964" s="5" t="s">
        <v>11</v>
      </c>
      <c r="D13964" s="5" t="s">
        <v>12</v>
      </c>
      <c r="E13964" s="5" t="s">
        <v>2329</v>
      </c>
    </row>
    <row r="13965" spans="1:5" x14ac:dyDescent="0.25">
      <c r="A13965" s="5">
        <f>13957</f>
      </c>
      <c r="B13965" s="5" t="s">
        <v>13236</v>
      </c>
      <c r="C13965" s="5" t="s">
        <v>11</v>
      </c>
      <c r="D13965" s="5" t="s">
        <v>12</v>
      </c>
      <c r="E13965" s="5" t="s">
        <v>2329</v>
      </c>
    </row>
    <row r="13966" spans="1:5" x14ac:dyDescent="0.25">
      <c r="A13966" s="5">
        <f>13958</f>
      </c>
      <c r="B13966" s="5" t="s">
        <v>13237</v>
      </c>
      <c r="C13966" s="5" t="s">
        <v>11</v>
      </c>
      <c r="D13966" s="5" t="s">
        <v>12</v>
      </c>
      <c r="E13966" s="5" t="s">
        <v>3527</v>
      </c>
    </row>
    <row r="13967" spans="1:5" x14ac:dyDescent="0.25">
      <c r="A13967" s="5">
        <f>13959</f>
      </c>
      <c r="B13967" s="5" t="s">
        <v>13238</v>
      </c>
      <c r="C13967" s="5" t="s">
        <v>11</v>
      </c>
      <c r="D13967" s="5" t="s">
        <v>12</v>
      </c>
      <c r="E13967" s="5" t="s">
        <v>2588</v>
      </c>
    </row>
    <row r="13968" spans="1:5" x14ac:dyDescent="0.25">
      <c r="A13968" s="5">
        <f>13960</f>
      </c>
      <c r="B13968" s="5" t="s">
        <v>13239</v>
      </c>
      <c r="C13968" s="5" t="s">
        <v>11</v>
      </c>
      <c r="D13968" s="5" t="s">
        <v>12</v>
      </c>
      <c r="E13968" s="5" t="s">
        <v>3520</v>
      </c>
    </row>
    <row r="13969" spans="1:5" x14ac:dyDescent="0.25">
      <c r="A13969" s="5">
        <f>13961</f>
      </c>
      <c r="B13969" s="5" t="s">
        <v>13240</v>
      </c>
      <c r="C13969" s="5" t="s">
        <v>11</v>
      </c>
      <c r="D13969" s="5" t="s">
        <v>12</v>
      </c>
      <c r="E13969" s="5" t="s">
        <v>1074</v>
      </c>
    </row>
    <row r="13970" spans="1:5" x14ac:dyDescent="0.25">
      <c r="A13970" s="5">
        <f>13962</f>
      </c>
      <c r="B13970" s="5" t="s">
        <v>13241</v>
      </c>
      <c r="C13970" s="5" t="s">
        <v>11</v>
      </c>
      <c r="D13970" s="5" t="s">
        <v>12</v>
      </c>
      <c r="E13970" s="5" t="s">
        <v>3583</v>
      </c>
    </row>
    <row r="13971" spans="1:5" x14ac:dyDescent="0.25">
      <c r="A13971" s="5">
        <f>13963</f>
      </c>
      <c r="B13971" s="5" t="s">
        <v>13242</v>
      </c>
      <c r="C13971" s="5" t="s">
        <v>11</v>
      </c>
      <c r="D13971" s="5" t="s">
        <v>12</v>
      </c>
      <c r="E13971" s="5" t="s">
        <v>10618</v>
      </c>
    </row>
    <row r="13972" spans="1:5" x14ac:dyDescent="0.25">
      <c r="A13972" s="5">
        <f>13964</f>
      </c>
      <c r="B13972" s="5" t="s">
        <v>13243</v>
      </c>
      <c r="C13972" s="5" t="s">
        <v>11</v>
      </c>
      <c r="D13972" s="5" t="s">
        <v>12</v>
      </c>
      <c r="E13972" s="5" t="s">
        <v>935</v>
      </c>
    </row>
    <row r="13973" spans="1:5" x14ac:dyDescent="0.25">
      <c r="A13973" s="5">
        <f>13965</f>
      </c>
      <c r="B13973" s="5" t="s">
        <v>13244</v>
      </c>
      <c r="C13973" s="5" t="s">
        <v>11</v>
      </c>
      <c r="D13973" s="5" t="s">
        <v>12</v>
      </c>
      <c r="E13973" s="5" t="s">
        <v>935</v>
      </c>
    </row>
    <row r="13974" spans="1:5" x14ac:dyDescent="0.25">
      <c r="A13974" s="5">
        <f>13966</f>
      </c>
      <c r="B13974" s="5" t="s">
        <v>13245</v>
      </c>
      <c r="C13974" s="5" t="s">
        <v>11</v>
      </c>
      <c r="D13974" s="5" t="s">
        <v>12</v>
      </c>
      <c r="E13974" s="5" t="s">
        <v>2400</v>
      </c>
    </row>
    <row r="13975" spans="1:5" x14ac:dyDescent="0.25">
      <c r="A13975" s="5">
        <f>13967</f>
      </c>
      <c r="B13975" s="5" t="s">
        <v>13246</v>
      </c>
      <c r="C13975" s="5" t="s">
        <v>11</v>
      </c>
      <c r="D13975" s="5" t="s">
        <v>12</v>
      </c>
      <c r="E13975" s="5" t="s">
        <v>3376</v>
      </c>
    </row>
    <row r="13976" spans="1:5" x14ac:dyDescent="0.25">
      <c r="A13976" s="5">
        <f>13968</f>
      </c>
      <c r="B13976" s="5" t="s">
        <v>13247</v>
      </c>
      <c r="C13976" s="5" t="s">
        <v>11</v>
      </c>
      <c r="D13976" s="5" t="s">
        <v>12</v>
      </c>
      <c r="E13976" s="5" t="s">
        <v>932</v>
      </c>
    </row>
    <row r="13977" spans="1:5" x14ac:dyDescent="0.25">
      <c r="A13977" s="5">
        <f>13969</f>
      </c>
      <c r="B13977" s="5" t="s">
        <v>13248</v>
      </c>
      <c r="C13977" s="5" t="s">
        <v>11</v>
      </c>
      <c r="D13977" s="5" t="s">
        <v>12</v>
      </c>
      <c r="E13977" s="5" t="s">
        <v>732</v>
      </c>
    </row>
    <row r="13978" spans="1:5" x14ac:dyDescent="0.25">
      <c r="A13978" s="5">
        <f>13970</f>
      </c>
      <c r="B13978" s="5" t="s">
        <v>13249</v>
      </c>
      <c r="C13978" s="5" t="s">
        <v>11</v>
      </c>
      <c r="D13978" s="5" t="s">
        <v>12</v>
      </c>
      <c r="E13978" s="5" t="s">
        <v>10878</v>
      </c>
    </row>
    <row r="13979" spans="1:5" x14ac:dyDescent="0.25">
      <c r="A13979" s="5">
        <f>13971</f>
      </c>
      <c r="B13979" s="5" t="s">
        <v>13250</v>
      </c>
      <c r="C13979" s="5" t="s">
        <v>11</v>
      </c>
      <c r="D13979" s="5" t="s">
        <v>12</v>
      </c>
      <c r="E13979" s="5" t="s">
        <v>2381</v>
      </c>
    </row>
    <row r="13980" spans="1:5" x14ac:dyDescent="0.25">
      <c r="A13980" s="5">
        <f>13972</f>
      </c>
      <c r="B13980" s="5" t="s">
        <v>13251</v>
      </c>
      <c r="C13980" s="5" t="s">
        <v>11</v>
      </c>
      <c r="D13980" s="5" t="s">
        <v>12</v>
      </c>
      <c r="E13980" s="5" t="s">
        <v>3962</v>
      </c>
    </row>
    <row r="13981" spans="1:5" x14ac:dyDescent="0.25">
      <c r="A13981" s="5">
        <f>13973</f>
      </c>
      <c r="B13981" s="5" t="s">
        <v>13252</v>
      </c>
      <c r="C13981" s="5" t="s">
        <v>11</v>
      </c>
      <c r="D13981" s="5" t="s">
        <v>12</v>
      </c>
      <c r="E13981" s="5" t="s">
        <v>3962</v>
      </c>
    </row>
    <row r="13982" spans="1:5" x14ac:dyDescent="0.25">
      <c r="A13982" s="5">
        <f>13974</f>
      </c>
      <c r="B13982" s="5" t="s">
        <v>13253</v>
      </c>
      <c r="C13982" s="5" t="s">
        <v>11</v>
      </c>
      <c r="D13982" s="5" t="s">
        <v>12</v>
      </c>
      <c r="E13982" s="5" t="s">
        <v>2402</v>
      </c>
    </row>
    <row r="13983" spans="1:5" x14ac:dyDescent="0.25">
      <c r="A13983" s="5">
        <f>13975</f>
      </c>
      <c r="B13983" s="5" t="s">
        <v>13254</v>
      </c>
      <c r="C13983" s="5" t="s">
        <v>11</v>
      </c>
      <c r="D13983" s="5" t="s">
        <v>12</v>
      </c>
      <c r="E13983" s="5" t="s">
        <v>726</v>
      </c>
    </row>
    <row r="13984" spans="1:5" x14ac:dyDescent="0.25">
      <c r="A13984" s="5">
        <f>13976</f>
      </c>
      <c r="B13984" s="5" t="s">
        <v>13255</v>
      </c>
      <c r="C13984" s="5" t="s">
        <v>11</v>
      </c>
      <c r="D13984" s="5" t="s">
        <v>12</v>
      </c>
      <c r="E13984" s="5" t="s">
        <v>919</v>
      </c>
    </row>
    <row r="13985" spans="1:5" x14ac:dyDescent="0.25">
      <c r="A13985" s="5">
        <f>13977</f>
      </c>
      <c r="B13985" s="5" t="s">
        <v>13256</v>
      </c>
      <c r="C13985" s="5" t="s">
        <v>11</v>
      </c>
      <c r="D13985" s="5" t="s">
        <v>12</v>
      </c>
      <c r="E13985" s="5" t="s">
        <v>919</v>
      </c>
    </row>
    <row r="13986" spans="1:5" x14ac:dyDescent="0.25">
      <c r="A13986" s="5">
        <f>13978</f>
      </c>
      <c r="B13986" s="5" t="s">
        <v>13257</v>
      </c>
      <c r="C13986" s="5" t="s">
        <v>11</v>
      </c>
      <c r="D13986" s="5" t="s">
        <v>12</v>
      </c>
      <c r="E13986" s="5" t="s">
        <v>954</v>
      </c>
    </row>
    <row r="13987" spans="1:5" x14ac:dyDescent="0.25">
      <c r="A13987" s="5">
        <f>13979</f>
      </c>
      <c r="B13987" s="5" t="s">
        <v>13258</v>
      </c>
      <c r="C13987" s="5" t="s">
        <v>11</v>
      </c>
      <c r="D13987" s="5" t="s">
        <v>12</v>
      </c>
      <c r="E13987" s="5" t="s">
        <v>10683</v>
      </c>
    </row>
    <row r="13988" spans="1:5" x14ac:dyDescent="0.25">
      <c r="A13988" s="5">
        <f>13980</f>
      </c>
      <c r="B13988" s="5" t="s">
        <v>13259</v>
      </c>
      <c r="C13988" s="5" t="s">
        <v>11</v>
      </c>
      <c r="D13988" s="5" t="s">
        <v>12</v>
      </c>
      <c r="E13988" s="5" t="s">
        <v>3493</v>
      </c>
    </row>
    <row r="13989" spans="1:5" x14ac:dyDescent="0.25">
      <c r="A13989" s="5">
        <f>13981</f>
      </c>
      <c r="B13989" s="5" t="s">
        <v>13260</v>
      </c>
      <c r="C13989" s="5" t="s">
        <v>11</v>
      </c>
      <c r="D13989" s="5" t="s">
        <v>12</v>
      </c>
      <c r="E13989" s="5" t="s">
        <v>3555</v>
      </c>
    </row>
    <row r="13990" spans="1:5" x14ac:dyDescent="0.25">
      <c r="A13990" s="5">
        <f>13982</f>
      </c>
      <c r="B13990" s="5" t="s">
        <v>13261</v>
      </c>
      <c r="C13990" s="5" t="s">
        <v>11</v>
      </c>
      <c r="D13990" s="5" t="s">
        <v>12</v>
      </c>
      <c r="E13990" s="5" t="s">
        <v>2876</v>
      </c>
    </row>
    <row r="13991" spans="1:5" x14ac:dyDescent="0.25">
      <c r="A13991" s="5">
        <f>13983</f>
      </c>
      <c r="B13991" s="5" t="s">
        <v>13262</v>
      </c>
      <c r="C13991" s="5" t="s">
        <v>11</v>
      </c>
      <c r="D13991" s="5" t="s">
        <v>12</v>
      </c>
      <c r="E13991" s="5" t="s">
        <v>2588</v>
      </c>
    </row>
    <row r="13992" spans="1:5" x14ac:dyDescent="0.25">
      <c r="A13992" s="5">
        <f>13984</f>
      </c>
      <c r="B13992" s="5" t="s">
        <v>13263</v>
      </c>
      <c r="C13992" s="5" t="s">
        <v>11</v>
      </c>
      <c r="D13992" s="5" t="s">
        <v>12</v>
      </c>
      <c r="E13992" s="5" t="s">
        <v>2754</v>
      </c>
    </row>
    <row r="13993" spans="1:5" x14ac:dyDescent="0.25">
      <c r="A13993" s="5">
        <f>13985</f>
      </c>
      <c r="B13993" s="5" t="s">
        <v>13264</v>
      </c>
      <c r="C13993" s="5" t="s">
        <v>11</v>
      </c>
      <c r="D13993" s="5" t="s">
        <v>12</v>
      </c>
      <c r="E13993" s="5" t="s">
        <v>730</v>
      </c>
    </row>
    <row r="13994" spans="1:5" x14ac:dyDescent="0.25">
      <c r="A13994" s="5">
        <f>13986</f>
      </c>
      <c r="B13994" s="5" t="s">
        <v>13265</v>
      </c>
      <c r="C13994" s="5" t="s">
        <v>11</v>
      </c>
      <c r="D13994" s="5" t="s">
        <v>12</v>
      </c>
      <c r="E13994" s="5" t="s">
        <v>1067</v>
      </c>
    </row>
    <row r="13995" spans="1:5" x14ac:dyDescent="0.25">
      <c r="A13995" s="5">
        <f>13987</f>
      </c>
      <c r="B13995" s="5" t="s">
        <v>13266</v>
      </c>
      <c r="C13995" s="5" t="s">
        <v>11</v>
      </c>
      <c r="D13995" s="5" t="s">
        <v>12</v>
      </c>
      <c r="E13995" s="5" t="s">
        <v>3565</v>
      </c>
    </row>
    <row r="13996" spans="1:5" x14ac:dyDescent="0.25">
      <c r="A13996" s="5">
        <f>13988</f>
      </c>
      <c r="B13996" s="5" t="s">
        <v>13267</v>
      </c>
      <c r="C13996" s="5" t="s">
        <v>11</v>
      </c>
      <c r="D13996" s="5" t="s">
        <v>12</v>
      </c>
      <c r="E13996" s="5" t="s">
        <v>2626</v>
      </c>
    </row>
    <row r="13997" spans="1:5" x14ac:dyDescent="0.25">
      <c r="A13997" s="5">
        <f>13989</f>
      </c>
      <c r="B13997" s="5" t="s">
        <v>13268</v>
      </c>
      <c r="C13997" s="5" t="s">
        <v>11</v>
      </c>
      <c r="D13997" s="5" t="s">
        <v>12</v>
      </c>
      <c r="E13997" s="5" t="s">
        <v>736</v>
      </c>
    </row>
    <row r="13998" spans="1:5" x14ac:dyDescent="0.25">
      <c r="A13998" s="5">
        <f>13990</f>
      </c>
      <c r="B13998" s="5" t="s">
        <v>13269</v>
      </c>
      <c r="C13998" s="5" t="s">
        <v>11</v>
      </c>
      <c r="D13998" s="5" t="s">
        <v>12</v>
      </c>
      <c r="E13998" s="5" t="s">
        <v>736</v>
      </c>
    </row>
    <row r="13999" spans="1:5" x14ac:dyDescent="0.25">
      <c r="A13999" s="5">
        <f>13991</f>
      </c>
      <c r="B13999" s="5" t="s">
        <v>13270</v>
      </c>
      <c r="C13999" s="5" t="s">
        <v>11</v>
      </c>
      <c r="D13999" s="5" t="s">
        <v>12</v>
      </c>
      <c r="E13999" s="5" t="s">
        <v>3774</v>
      </c>
    </row>
    <row r="14000" spans="1:5" x14ac:dyDescent="0.25">
      <c r="A14000" s="5">
        <f>13992</f>
      </c>
      <c r="B14000" s="5" t="s">
        <v>13271</v>
      </c>
      <c r="C14000" s="5" t="s">
        <v>11</v>
      </c>
      <c r="D14000" s="5" t="s">
        <v>12</v>
      </c>
      <c r="E14000" s="5" t="s">
        <v>3774</v>
      </c>
    </row>
    <row r="14001" spans="1:5" x14ac:dyDescent="0.25">
      <c r="A14001" s="5">
        <f>13993</f>
      </c>
      <c r="B14001" s="5" t="s">
        <v>13272</v>
      </c>
      <c r="C14001" s="5" t="s">
        <v>11</v>
      </c>
      <c r="D14001" s="5" t="s">
        <v>12</v>
      </c>
      <c r="E14001" s="5" t="s">
        <v>3686</v>
      </c>
    </row>
    <row r="14002" spans="1:5" x14ac:dyDescent="0.25">
      <c r="A14002" s="5">
        <f>13994</f>
      </c>
      <c r="B14002" s="5" t="s">
        <v>13273</v>
      </c>
      <c r="C14002" s="5" t="s">
        <v>11</v>
      </c>
      <c r="D14002" s="5" t="s">
        <v>12</v>
      </c>
      <c r="E14002" s="5" t="s">
        <v>849</v>
      </c>
    </row>
    <row r="14003" spans="1:5" x14ac:dyDescent="0.25">
      <c r="A14003" s="5">
        <f>13995</f>
      </c>
      <c r="B14003" s="5" t="s">
        <v>13274</v>
      </c>
      <c r="C14003" s="5" t="s">
        <v>11</v>
      </c>
      <c r="D14003" s="5" t="s">
        <v>12</v>
      </c>
      <c r="E14003" s="5" t="s">
        <v>885</v>
      </c>
    </row>
    <row r="14004" spans="1:5" x14ac:dyDescent="0.25">
      <c r="A14004" s="5">
        <f>13996</f>
      </c>
      <c r="B14004" s="5" t="s">
        <v>13275</v>
      </c>
      <c r="C14004" s="5" t="s">
        <v>11</v>
      </c>
      <c r="D14004" s="5" t="s">
        <v>12</v>
      </c>
      <c r="E14004" s="5" t="s">
        <v>945</v>
      </c>
    </row>
    <row r="14005" spans="1:5" x14ac:dyDescent="0.25">
      <c r="A14005" s="5">
        <f>13997</f>
      </c>
      <c r="B14005" s="5" t="s">
        <v>13276</v>
      </c>
      <c r="C14005" s="5" t="s">
        <v>11</v>
      </c>
      <c r="D14005" s="5" t="s">
        <v>12</v>
      </c>
      <c r="E14005" s="5" t="s">
        <v>2600</v>
      </c>
    </row>
    <row r="14006" spans="1:5" x14ac:dyDescent="0.25">
      <c r="A14006" s="5">
        <f>13998</f>
      </c>
      <c r="B14006" s="5" t="s">
        <v>13277</v>
      </c>
      <c r="C14006" s="5" t="s">
        <v>11</v>
      </c>
      <c r="D14006" s="5" t="s">
        <v>12</v>
      </c>
      <c r="E14006" s="5" t="s">
        <v>927</v>
      </c>
    </row>
    <row r="14007" spans="1:5" x14ac:dyDescent="0.25">
      <c r="A14007" s="5">
        <f>13999</f>
      </c>
      <c r="B14007" s="5" t="s">
        <v>13278</v>
      </c>
      <c r="C14007" s="5" t="s">
        <v>11</v>
      </c>
      <c r="D14007" s="5" t="s">
        <v>12</v>
      </c>
      <c r="E14007" s="5" t="s">
        <v>2665</v>
      </c>
    </row>
    <row r="14008" spans="1:5" x14ac:dyDescent="0.25">
      <c r="A14008" s="5">
        <f>14000</f>
      </c>
      <c r="B14008" s="5" t="s">
        <v>13279</v>
      </c>
      <c r="C14008" s="5" t="s">
        <v>11</v>
      </c>
      <c r="D14008" s="5" t="s">
        <v>12</v>
      </c>
      <c r="E14008" s="5" t="s">
        <v>3565</v>
      </c>
    </row>
    <row r="14009" spans="1:5" x14ac:dyDescent="0.25">
      <c r="A14009" s="5">
        <f>14001</f>
      </c>
      <c r="B14009" s="5" t="s">
        <v>13280</v>
      </c>
      <c r="C14009" s="5" t="s">
        <v>11</v>
      </c>
      <c r="D14009" s="5" t="s">
        <v>12</v>
      </c>
      <c r="E14009" s="5" t="s">
        <v>932</v>
      </c>
    </row>
    <row r="14010" spans="1:5" x14ac:dyDescent="0.25">
      <c r="A14010" s="5">
        <f>14002</f>
      </c>
      <c r="B14010" s="5" t="s">
        <v>13281</v>
      </c>
      <c r="C14010" s="5" t="s">
        <v>11</v>
      </c>
      <c r="D14010" s="5" t="s">
        <v>12</v>
      </c>
      <c r="E14010" s="5" t="s">
        <v>9512</v>
      </c>
    </row>
    <row r="14011" spans="1:5" x14ac:dyDescent="0.25">
      <c r="A14011" s="5">
        <f>14003</f>
      </c>
      <c r="B14011" s="5" t="s">
        <v>13282</v>
      </c>
      <c r="C14011" s="5" t="s">
        <v>11</v>
      </c>
      <c r="D14011" s="5" t="s">
        <v>12</v>
      </c>
      <c r="E14011" s="5" t="s">
        <v>9512</v>
      </c>
    </row>
    <row r="14012" spans="1:5" x14ac:dyDescent="0.25">
      <c r="A14012" s="5">
        <f>14004</f>
      </c>
      <c r="B14012" s="5" t="s">
        <v>13283</v>
      </c>
      <c r="C14012" s="5" t="s">
        <v>11</v>
      </c>
      <c r="D14012" s="5" t="s">
        <v>12</v>
      </c>
      <c r="E14012" s="5" t="s">
        <v>2819</v>
      </c>
    </row>
    <row r="14013" spans="1:5" x14ac:dyDescent="0.25">
      <c r="A14013" s="5">
        <f>14005</f>
      </c>
      <c r="B14013" s="5" t="s">
        <v>13284</v>
      </c>
      <c r="C14013" s="5" t="s">
        <v>11</v>
      </c>
      <c r="D14013" s="5" t="s">
        <v>12</v>
      </c>
      <c r="E14013" s="5" t="s">
        <v>3545</v>
      </c>
    </row>
    <row r="14014" spans="1:5" x14ac:dyDescent="0.25">
      <c r="A14014" s="5">
        <f>14006</f>
      </c>
      <c r="B14014" s="5" t="s">
        <v>13285</v>
      </c>
      <c r="C14014" s="5" t="s">
        <v>11</v>
      </c>
      <c r="D14014" s="5" t="s">
        <v>12</v>
      </c>
      <c r="E14014" s="5" t="s">
        <v>10660</v>
      </c>
    </row>
    <row r="14015" spans="1:5" x14ac:dyDescent="0.25">
      <c r="A14015" s="5">
        <f>14007</f>
      </c>
      <c r="B14015" s="5" t="s">
        <v>13286</v>
      </c>
      <c r="C14015" s="5" t="s">
        <v>11</v>
      </c>
      <c r="D14015" s="5" t="s">
        <v>12</v>
      </c>
      <c r="E14015" s="5" t="s">
        <v>730</v>
      </c>
    </row>
    <row r="14016" spans="1:5" x14ac:dyDescent="0.25">
      <c r="A14016" s="5">
        <f>14008</f>
      </c>
      <c r="B14016" s="5" t="s">
        <v>13287</v>
      </c>
      <c r="C14016" s="5" t="s">
        <v>11</v>
      </c>
      <c r="D14016" s="5" t="s">
        <v>12</v>
      </c>
      <c r="E14016" s="5" t="s">
        <v>4151</v>
      </c>
    </row>
    <row r="14017" spans="1:5" x14ac:dyDescent="0.25">
      <c r="A14017" s="5">
        <f>14009</f>
      </c>
      <c r="B14017" s="5" t="s">
        <v>13288</v>
      </c>
      <c r="C14017" s="5" t="s">
        <v>11</v>
      </c>
      <c r="D14017" s="5" t="s">
        <v>12</v>
      </c>
      <c r="E14017" s="5" t="s">
        <v>3716</v>
      </c>
    </row>
    <row r="14018" spans="1:5" x14ac:dyDescent="0.25">
      <c r="A14018" s="5">
        <f>14010</f>
      </c>
      <c r="B14018" s="5" t="s">
        <v>13289</v>
      </c>
      <c r="C14018" s="5" t="s">
        <v>11</v>
      </c>
      <c r="D14018" s="5" t="s">
        <v>12</v>
      </c>
      <c r="E14018" s="5" t="s">
        <v>2577</v>
      </c>
    </row>
    <row r="14019" spans="1:5" x14ac:dyDescent="0.25">
      <c r="A14019" s="5">
        <f>14011</f>
      </c>
      <c r="B14019" s="5" t="s">
        <v>13290</v>
      </c>
      <c r="C14019" s="5" t="s">
        <v>11</v>
      </c>
      <c r="D14019" s="5" t="s">
        <v>12</v>
      </c>
      <c r="E14019" s="5" t="s">
        <v>2577</v>
      </c>
    </row>
    <row r="14020" spans="1:5" x14ac:dyDescent="0.25">
      <c r="A14020" s="5">
        <f>14012</f>
      </c>
      <c r="B14020" s="5" t="s">
        <v>13291</v>
      </c>
      <c r="C14020" s="5" t="s">
        <v>11</v>
      </c>
      <c r="D14020" s="5" t="s">
        <v>12</v>
      </c>
      <c r="E14020" s="5" t="s">
        <v>2577</v>
      </c>
    </row>
    <row r="14021" spans="1:5" x14ac:dyDescent="0.25">
      <c r="A14021" s="5">
        <f>14013</f>
      </c>
      <c r="B14021" s="5" t="s">
        <v>13292</v>
      </c>
      <c r="C14021" s="5" t="s">
        <v>11</v>
      </c>
      <c r="D14021" s="5" t="s">
        <v>12</v>
      </c>
      <c r="E14021" s="5" t="s">
        <v>2577</v>
      </c>
    </row>
    <row r="14022" spans="1:5" x14ac:dyDescent="0.25">
      <c r="A14022" s="5">
        <f>14014</f>
      </c>
      <c r="B14022" s="5" t="s">
        <v>13293</v>
      </c>
      <c r="C14022" s="5" t="s">
        <v>11</v>
      </c>
      <c r="D14022" s="5" t="s">
        <v>12</v>
      </c>
      <c r="E14022" s="5" t="s">
        <v>2577</v>
      </c>
    </row>
    <row r="14023" spans="1:5" x14ac:dyDescent="0.25">
      <c r="A14023" s="5">
        <f>14015</f>
      </c>
      <c r="B14023" s="5" t="s">
        <v>13294</v>
      </c>
      <c r="C14023" s="5" t="s">
        <v>11</v>
      </c>
      <c r="D14023" s="5" t="s">
        <v>12</v>
      </c>
      <c r="E14023" s="5" t="s">
        <v>2577</v>
      </c>
    </row>
    <row r="14024" spans="1:5" x14ac:dyDescent="0.25">
      <c r="A14024" s="5">
        <f>14016</f>
      </c>
      <c r="B14024" s="5" t="s">
        <v>13295</v>
      </c>
      <c r="C14024" s="5" t="s">
        <v>11</v>
      </c>
      <c r="D14024" s="5" t="s">
        <v>12</v>
      </c>
      <c r="E14024" s="5" t="s">
        <v>2577</v>
      </c>
    </row>
    <row r="14025" spans="1:5" x14ac:dyDescent="0.25">
      <c r="A14025" s="5">
        <f>14017</f>
      </c>
      <c r="B14025" s="5" t="s">
        <v>13296</v>
      </c>
      <c r="C14025" s="5" t="s">
        <v>11</v>
      </c>
      <c r="D14025" s="5" t="s">
        <v>12</v>
      </c>
      <c r="E14025" s="5" t="s">
        <v>2577</v>
      </c>
    </row>
    <row r="14026" spans="1:5" x14ac:dyDescent="0.25">
      <c r="A14026" s="5">
        <f>14018</f>
      </c>
      <c r="B14026" s="5" t="s">
        <v>13297</v>
      </c>
      <c r="C14026" s="5" t="s">
        <v>11</v>
      </c>
      <c r="D14026" s="5" t="s">
        <v>12</v>
      </c>
      <c r="E14026" s="5" t="s">
        <v>2577</v>
      </c>
    </row>
    <row r="14027" spans="1:5" x14ac:dyDescent="0.25">
      <c r="A14027" s="5">
        <f>14019</f>
      </c>
      <c r="B14027" s="5" t="s">
        <v>13298</v>
      </c>
      <c r="C14027" s="5" t="s">
        <v>11</v>
      </c>
      <c r="D14027" s="5" t="s">
        <v>12</v>
      </c>
      <c r="E14027" s="5" t="s">
        <v>2577</v>
      </c>
    </row>
    <row r="14028" spans="1:5" x14ac:dyDescent="0.25">
      <c r="A14028" s="5">
        <f>14020</f>
      </c>
      <c r="B14028" s="5" t="s">
        <v>13299</v>
      </c>
      <c r="C14028" s="5" t="s">
        <v>11</v>
      </c>
      <c r="D14028" s="5" t="s">
        <v>12</v>
      </c>
      <c r="E14028" s="5" t="s">
        <v>2577</v>
      </c>
    </row>
    <row r="14029" spans="1:5" x14ac:dyDescent="0.25">
      <c r="A14029" s="5">
        <f>14021</f>
      </c>
      <c r="B14029" s="5" t="s">
        <v>13300</v>
      </c>
      <c r="C14029" s="5" t="s">
        <v>11</v>
      </c>
      <c r="D14029" s="5" t="s">
        <v>12</v>
      </c>
      <c r="E14029" s="5" t="s">
        <v>2577</v>
      </c>
    </row>
    <row r="14030" spans="1:5" x14ac:dyDescent="0.25">
      <c r="A14030" s="5">
        <f>14022</f>
      </c>
      <c r="B14030" s="5" t="s">
        <v>13301</v>
      </c>
      <c r="C14030" s="5" t="s">
        <v>11</v>
      </c>
      <c r="D14030" s="5" t="s">
        <v>12</v>
      </c>
      <c r="E14030" s="5" t="s">
        <v>2577</v>
      </c>
    </row>
    <row r="14031" spans="1:5" x14ac:dyDescent="0.25">
      <c r="A14031" s="5">
        <f>14023</f>
      </c>
      <c r="B14031" s="5" t="s">
        <v>13302</v>
      </c>
      <c r="C14031" s="5" t="s">
        <v>11</v>
      </c>
      <c r="D14031" s="5" t="s">
        <v>12</v>
      </c>
      <c r="E14031" s="5" t="s">
        <v>2577</v>
      </c>
    </row>
    <row r="14032" spans="1:5" x14ac:dyDescent="0.25">
      <c r="A14032" s="5">
        <f>14024</f>
      </c>
      <c r="B14032" s="5" t="s">
        <v>13303</v>
      </c>
      <c r="C14032" s="5" t="s">
        <v>11</v>
      </c>
      <c r="D14032" s="5" t="s">
        <v>12</v>
      </c>
      <c r="E14032" s="5" t="s">
        <v>2577</v>
      </c>
    </row>
    <row r="14033" spans="1:5" x14ac:dyDescent="0.25">
      <c r="A14033" s="5">
        <f>14025</f>
      </c>
      <c r="B14033" s="5" t="s">
        <v>13304</v>
      </c>
      <c r="C14033" s="5" t="s">
        <v>11</v>
      </c>
      <c r="D14033" s="5" t="s">
        <v>12</v>
      </c>
      <c r="E14033" s="5" t="s">
        <v>2577</v>
      </c>
    </row>
    <row r="14034" spans="1:5" x14ac:dyDescent="0.25">
      <c r="A14034" s="5">
        <f>14026</f>
      </c>
      <c r="B14034" s="5" t="s">
        <v>13305</v>
      </c>
      <c r="C14034" s="5" t="s">
        <v>11</v>
      </c>
      <c r="D14034" s="5" t="s">
        <v>12</v>
      </c>
      <c r="E14034" s="5" t="s">
        <v>2577</v>
      </c>
    </row>
    <row r="14035" spans="1:5" x14ac:dyDescent="0.25">
      <c r="A14035" s="5">
        <f>14027</f>
      </c>
      <c r="B14035" s="5" t="s">
        <v>13306</v>
      </c>
      <c r="C14035" s="5" t="s">
        <v>11</v>
      </c>
      <c r="D14035" s="5" t="s">
        <v>12</v>
      </c>
      <c r="E14035" s="5" t="s">
        <v>2577</v>
      </c>
    </row>
    <row r="14036" spans="1:5" x14ac:dyDescent="0.25">
      <c r="A14036" s="5">
        <f>14028</f>
      </c>
      <c r="B14036" s="5" t="s">
        <v>13307</v>
      </c>
      <c r="C14036" s="5" t="s">
        <v>11</v>
      </c>
      <c r="D14036" s="5" t="s">
        <v>12</v>
      </c>
      <c r="E14036" s="5" t="s">
        <v>2577</v>
      </c>
    </row>
    <row r="14037" spans="1:5" x14ac:dyDescent="0.25">
      <c r="A14037" s="5">
        <f>14029</f>
      </c>
      <c r="B14037" s="5" t="s">
        <v>13308</v>
      </c>
      <c r="C14037" s="5" t="s">
        <v>11</v>
      </c>
      <c r="D14037" s="5" t="s">
        <v>12</v>
      </c>
      <c r="E14037" s="5" t="s">
        <v>2577</v>
      </c>
    </row>
    <row r="14038" spans="1:5" x14ac:dyDescent="0.25">
      <c r="A14038" s="5">
        <f>14030</f>
      </c>
      <c r="B14038" s="5" t="s">
        <v>13309</v>
      </c>
      <c r="C14038" s="5" t="s">
        <v>11</v>
      </c>
      <c r="D14038" s="5" t="s">
        <v>12</v>
      </c>
      <c r="E14038" s="5" t="s">
        <v>2577</v>
      </c>
    </row>
    <row r="14039" spans="1:5" x14ac:dyDescent="0.25">
      <c r="A14039" s="5">
        <f>14031</f>
      </c>
      <c r="B14039" s="5" t="s">
        <v>13310</v>
      </c>
      <c r="C14039" s="5" t="s">
        <v>11</v>
      </c>
      <c r="D14039" s="5" t="s">
        <v>12</v>
      </c>
      <c r="E14039" s="5" t="s">
        <v>2577</v>
      </c>
    </row>
    <row r="14040" spans="1:5" x14ac:dyDescent="0.25">
      <c r="A14040" s="5">
        <f>14032</f>
      </c>
      <c r="B14040" s="5" t="s">
        <v>13311</v>
      </c>
      <c r="C14040" s="5" t="s">
        <v>11</v>
      </c>
      <c r="D14040" s="5" t="s">
        <v>12</v>
      </c>
      <c r="E14040" s="5" t="s">
        <v>2577</v>
      </c>
    </row>
    <row r="14041" spans="1:5" x14ac:dyDescent="0.25">
      <c r="A14041" s="5">
        <f>14033</f>
      </c>
      <c r="B14041" s="5" t="s">
        <v>13312</v>
      </c>
      <c r="C14041" s="5" t="s">
        <v>11</v>
      </c>
      <c r="D14041" s="5" t="s">
        <v>12</v>
      </c>
      <c r="E14041" s="5" t="s">
        <v>2577</v>
      </c>
    </row>
    <row r="14042" spans="1:5" x14ac:dyDescent="0.25">
      <c r="A14042" s="5">
        <f>14034</f>
      </c>
      <c r="B14042" s="5" t="s">
        <v>13313</v>
      </c>
      <c r="C14042" s="5" t="s">
        <v>11</v>
      </c>
      <c r="D14042" s="5" t="s">
        <v>12</v>
      </c>
      <c r="E14042" s="5" t="s">
        <v>2577</v>
      </c>
    </row>
    <row r="14043" spans="1:5" x14ac:dyDescent="0.25">
      <c r="A14043" s="5">
        <f>14035</f>
      </c>
      <c r="B14043" s="5" t="s">
        <v>13314</v>
      </c>
      <c r="C14043" s="5" t="s">
        <v>11</v>
      </c>
      <c r="D14043" s="5" t="s">
        <v>12</v>
      </c>
      <c r="E14043" s="5" t="s">
        <v>2577</v>
      </c>
    </row>
    <row r="14044" spans="1:5" x14ac:dyDescent="0.25">
      <c r="A14044" s="5">
        <f>14036</f>
      </c>
      <c r="B14044" s="5" t="s">
        <v>13315</v>
      </c>
      <c r="C14044" s="5" t="s">
        <v>11</v>
      </c>
      <c r="D14044" s="5" t="s">
        <v>12</v>
      </c>
      <c r="E14044" s="5" t="s">
        <v>2577</v>
      </c>
    </row>
    <row r="14045" spans="1:5" x14ac:dyDescent="0.25">
      <c r="A14045" s="5">
        <f>14037</f>
      </c>
      <c r="B14045" s="5" t="s">
        <v>13316</v>
      </c>
      <c r="C14045" s="5" t="s">
        <v>11</v>
      </c>
      <c r="D14045" s="5" t="s">
        <v>12</v>
      </c>
      <c r="E14045" s="5" t="s">
        <v>2577</v>
      </c>
    </row>
    <row r="14046" spans="1:5" x14ac:dyDescent="0.25">
      <c r="A14046" s="5">
        <f>14038</f>
      </c>
      <c r="B14046" s="5" t="s">
        <v>13317</v>
      </c>
      <c r="C14046" s="5" t="s">
        <v>11</v>
      </c>
      <c r="D14046" s="5" t="s">
        <v>12</v>
      </c>
      <c r="E14046" s="5" t="s">
        <v>2577</v>
      </c>
    </row>
    <row r="14047" spans="1:5" x14ac:dyDescent="0.25">
      <c r="A14047" s="5">
        <f>14039</f>
      </c>
      <c r="B14047" s="5" t="s">
        <v>13318</v>
      </c>
      <c r="C14047" s="5" t="s">
        <v>11</v>
      </c>
      <c r="D14047" s="5" t="s">
        <v>12</v>
      </c>
      <c r="E14047" s="5" t="s">
        <v>2577</v>
      </c>
    </row>
    <row r="14048" spans="1:5" x14ac:dyDescent="0.25">
      <c r="A14048" s="5">
        <f>14040</f>
      </c>
      <c r="B14048" s="5" t="s">
        <v>13319</v>
      </c>
      <c r="C14048" s="5" t="s">
        <v>11</v>
      </c>
      <c r="D14048" s="5" t="s">
        <v>12</v>
      </c>
      <c r="E14048" s="5" t="s">
        <v>2577</v>
      </c>
    </row>
    <row r="14049" spans="1:5" x14ac:dyDescent="0.25">
      <c r="A14049" s="5">
        <f>14041</f>
      </c>
      <c r="B14049" s="5" t="s">
        <v>13320</v>
      </c>
      <c r="C14049" s="5" t="s">
        <v>11</v>
      </c>
      <c r="D14049" s="5" t="s">
        <v>12</v>
      </c>
      <c r="E14049" s="5" t="s">
        <v>2577</v>
      </c>
    </row>
    <row r="14050" spans="1:5" x14ac:dyDescent="0.25">
      <c r="A14050" s="5">
        <f>14042</f>
      </c>
      <c r="B14050" s="5" t="s">
        <v>13321</v>
      </c>
      <c r="C14050" s="5" t="s">
        <v>11</v>
      </c>
      <c r="D14050" s="5" t="s">
        <v>12</v>
      </c>
      <c r="E14050" s="5" t="s">
        <v>2577</v>
      </c>
    </row>
    <row r="14051" spans="1:5" x14ac:dyDescent="0.25">
      <c r="A14051" s="5">
        <f>14043</f>
      </c>
      <c r="B14051" s="5" t="s">
        <v>13322</v>
      </c>
      <c r="C14051" s="5" t="s">
        <v>11</v>
      </c>
      <c r="D14051" s="5" t="s">
        <v>12</v>
      </c>
      <c r="E14051" s="5" t="s">
        <v>2577</v>
      </c>
    </row>
    <row r="14052" spans="1:5" x14ac:dyDescent="0.25">
      <c r="A14052" s="5">
        <f>14044</f>
      </c>
      <c r="B14052" s="5" t="s">
        <v>13323</v>
      </c>
      <c r="C14052" s="5" t="s">
        <v>11</v>
      </c>
      <c r="D14052" s="5" t="s">
        <v>12</v>
      </c>
      <c r="E14052" s="5" t="s">
        <v>2577</v>
      </c>
    </row>
    <row r="14053" spans="1:5" x14ac:dyDescent="0.25">
      <c r="A14053" s="5">
        <f>14045</f>
      </c>
      <c r="B14053" s="5" t="s">
        <v>13324</v>
      </c>
      <c r="C14053" s="5" t="s">
        <v>11</v>
      </c>
      <c r="D14053" s="5" t="s">
        <v>12</v>
      </c>
      <c r="E14053" s="5" t="s">
        <v>2241</v>
      </c>
    </row>
    <row r="14054" spans="1:5" x14ac:dyDescent="0.25">
      <c r="A14054" s="5">
        <f>14046</f>
      </c>
      <c r="B14054" s="5" t="s">
        <v>13325</v>
      </c>
      <c r="C14054" s="5" t="s">
        <v>11</v>
      </c>
      <c r="D14054" s="5" t="s">
        <v>12</v>
      </c>
      <c r="E14054" s="5" t="s">
        <v>2293</v>
      </c>
    </row>
    <row r="14055" spans="1:5" x14ac:dyDescent="0.25">
      <c r="A14055" s="5">
        <f>14047</f>
      </c>
      <c r="B14055" s="5" t="s">
        <v>13326</v>
      </c>
      <c r="C14055" s="5" t="s">
        <v>11</v>
      </c>
      <c r="D14055" s="5" t="s">
        <v>12</v>
      </c>
      <c r="E14055" s="5" t="s">
        <v>3500</v>
      </c>
    </row>
    <row r="14056" spans="1:5" x14ac:dyDescent="0.25">
      <c r="A14056" s="5">
        <f>14048</f>
      </c>
      <c r="B14056" s="5" t="s">
        <v>13327</v>
      </c>
      <c r="C14056" s="5" t="s">
        <v>11</v>
      </c>
      <c r="D14056" s="5" t="s">
        <v>12</v>
      </c>
      <c r="E14056" s="5" t="s">
        <v>3680</v>
      </c>
    </row>
    <row r="14057" spans="1:5" x14ac:dyDescent="0.25">
      <c r="A14057" s="5">
        <f>14049</f>
      </c>
      <c r="B14057" s="5" t="s">
        <v>13328</v>
      </c>
      <c r="C14057" s="5" t="s">
        <v>11</v>
      </c>
      <c r="D14057" s="5" t="s">
        <v>12</v>
      </c>
      <c r="E14057" s="5" t="s">
        <v>1060</v>
      </c>
    </row>
    <row r="14058" spans="1:5" x14ac:dyDescent="0.25">
      <c r="A14058" s="5">
        <f>14050</f>
      </c>
      <c r="B14058" s="5" t="s">
        <v>13329</v>
      </c>
      <c r="C14058" s="5" t="s">
        <v>11</v>
      </c>
      <c r="D14058" s="5" t="s">
        <v>12</v>
      </c>
      <c r="E14058" s="5" t="s">
        <v>3488</v>
      </c>
    </row>
    <row r="14059" spans="1:5" x14ac:dyDescent="0.25">
      <c r="A14059" s="5">
        <f>14051</f>
      </c>
      <c r="B14059" s="5" t="s">
        <v>13330</v>
      </c>
      <c r="C14059" s="5" t="s">
        <v>11</v>
      </c>
      <c r="D14059" s="5" t="s">
        <v>12</v>
      </c>
      <c r="E14059" s="5" t="s">
        <v>10580</v>
      </c>
    </row>
    <row r="14060" spans="1:5" x14ac:dyDescent="0.25">
      <c r="A14060" s="5">
        <f>14052</f>
      </c>
      <c r="B14060" s="5" t="s">
        <v>13331</v>
      </c>
      <c r="C14060" s="5" t="s">
        <v>11</v>
      </c>
      <c r="D14060" s="5" t="s">
        <v>12</v>
      </c>
      <c r="E14060" s="5" t="s">
        <v>3378</v>
      </c>
    </row>
    <row r="14061" spans="1:5" x14ac:dyDescent="0.25">
      <c r="A14061" s="5">
        <f>14053</f>
      </c>
      <c r="B14061" s="5" t="s">
        <v>13332</v>
      </c>
      <c r="C14061" s="5" t="s">
        <v>11</v>
      </c>
      <c r="D14061" s="5" t="s">
        <v>12</v>
      </c>
      <c r="E14061" s="5" t="s">
        <v>2823</v>
      </c>
    </row>
    <row r="14062" spans="1:5" x14ac:dyDescent="0.25">
      <c r="A14062" s="5">
        <f>14054</f>
      </c>
      <c r="B14062" s="5" t="s">
        <v>13333</v>
      </c>
      <c r="C14062" s="5" t="s">
        <v>11</v>
      </c>
      <c r="D14062" s="5" t="s">
        <v>12</v>
      </c>
      <c r="E14062" s="5" t="s">
        <v>781</v>
      </c>
    </row>
    <row r="14063" spans="1:5" x14ac:dyDescent="0.25">
      <c r="A14063" s="5">
        <f>14055</f>
      </c>
      <c r="B14063" s="5" t="s">
        <v>13334</v>
      </c>
      <c r="C14063" s="5" t="s">
        <v>11</v>
      </c>
      <c r="D14063" s="5" t="s">
        <v>12</v>
      </c>
      <c r="E14063" s="5" t="s">
        <v>2247</v>
      </c>
    </row>
    <row r="14064" spans="1:5" x14ac:dyDescent="0.25">
      <c r="A14064" s="5">
        <f>14056</f>
      </c>
      <c r="B14064" s="5" t="s">
        <v>13335</v>
      </c>
      <c r="C14064" s="5" t="s">
        <v>11</v>
      </c>
      <c r="D14064" s="5" t="s">
        <v>12</v>
      </c>
      <c r="E14064" s="5" t="s">
        <v>4084</v>
      </c>
    </row>
    <row r="14065" spans="1:5" x14ac:dyDescent="0.25">
      <c r="A14065" s="5">
        <f>14057</f>
      </c>
      <c r="B14065" s="5" t="s">
        <v>13336</v>
      </c>
      <c r="C14065" s="5" t="s">
        <v>11</v>
      </c>
      <c r="D14065" s="5" t="s">
        <v>12</v>
      </c>
      <c r="E14065" s="5" t="s">
        <v>4048</v>
      </c>
    </row>
    <row r="14066" spans="1:5" x14ac:dyDescent="0.25">
      <c r="A14066" s="5">
        <f>14058</f>
      </c>
      <c r="B14066" s="5" t="s">
        <v>13337</v>
      </c>
      <c r="C14066" s="5" t="s">
        <v>11</v>
      </c>
      <c r="D14066" s="5" t="s">
        <v>12</v>
      </c>
      <c r="E14066" s="5" t="s">
        <v>2584</v>
      </c>
    </row>
    <row r="14067" spans="1:5" x14ac:dyDescent="0.25">
      <c r="A14067" s="5">
        <f>14059</f>
      </c>
      <c r="B14067" s="5" t="s">
        <v>13338</v>
      </c>
      <c r="C14067" s="5" t="s">
        <v>11</v>
      </c>
      <c r="D14067" s="5" t="s">
        <v>12</v>
      </c>
      <c r="E14067" s="5" t="s">
        <v>963</v>
      </c>
    </row>
    <row r="14068" spans="1:5" x14ac:dyDescent="0.25">
      <c r="A14068" s="5">
        <f>14060</f>
      </c>
      <c r="B14068" s="5" t="s">
        <v>13339</v>
      </c>
      <c r="C14068" s="5" t="s">
        <v>11</v>
      </c>
      <c r="D14068" s="5" t="s">
        <v>12</v>
      </c>
      <c r="E14068" s="5" t="s">
        <v>2639</v>
      </c>
    </row>
    <row r="14069" spans="1:5" x14ac:dyDescent="0.25">
      <c r="A14069" s="5">
        <f>14061</f>
      </c>
      <c r="B14069" s="5" t="s">
        <v>13340</v>
      </c>
      <c r="C14069" s="5" t="s">
        <v>11</v>
      </c>
      <c r="D14069" s="5" t="s">
        <v>12</v>
      </c>
      <c r="E14069" s="5" t="s">
        <v>2404</v>
      </c>
    </row>
    <row r="14070" spans="1:5" x14ac:dyDescent="0.25">
      <c r="A14070" s="5">
        <f>14062</f>
      </c>
      <c r="B14070" s="5" t="s">
        <v>13341</v>
      </c>
      <c r="C14070" s="5" t="s">
        <v>11</v>
      </c>
      <c r="D14070" s="5" t="s">
        <v>12</v>
      </c>
      <c r="E14070" s="5" t="s">
        <v>2318</v>
      </c>
    </row>
    <row r="14071" spans="1:5" x14ac:dyDescent="0.25">
      <c r="A14071" s="5">
        <f>14063</f>
      </c>
      <c r="B14071" s="5" t="s">
        <v>13342</v>
      </c>
      <c r="C14071" s="5" t="s">
        <v>11</v>
      </c>
      <c r="D14071" s="5" t="s">
        <v>12</v>
      </c>
      <c r="E14071" s="5" t="s">
        <v>2318</v>
      </c>
    </row>
    <row r="14072" spans="1:5" x14ac:dyDescent="0.25">
      <c r="A14072" s="5">
        <f>14064</f>
      </c>
      <c r="B14072" s="5" t="s">
        <v>13343</v>
      </c>
      <c r="C14072" s="5" t="s">
        <v>11</v>
      </c>
      <c r="D14072" s="5" t="s">
        <v>12</v>
      </c>
      <c r="E14072" s="5" t="s">
        <v>930</v>
      </c>
    </row>
    <row r="14073" spans="1:5" x14ac:dyDescent="0.25">
      <c r="A14073" s="5">
        <f>14065</f>
      </c>
      <c r="B14073" s="5" t="s">
        <v>13344</v>
      </c>
      <c r="C14073" s="5" t="s">
        <v>11</v>
      </c>
      <c r="D14073" s="5" t="s">
        <v>12</v>
      </c>
      <c r="E14073" s="5" t="s">
        <v>3376</v>
      </c>
    </row>
    <row r="14074" spans="1:5" x14ac:dyDescent="0.25">
      <c r="A14074" s="5">
        <f>14066</f>
      </c>
      <c r="B14074" s="5" t="s">
        <v>13345</v>
      </c>
      <c r="C14074" s="5" t="s">
        <v>11</v>
      </c>
      <c r="D14074" s="5" t="s">
        <v>12</v>
      </c>
      <c r="E14074" s="5" t="s">
        <v>1042</v>
      </c>
    </row>
    <row r="14075" spans="1:5" x14ac:dyDescent="0.25">
      <c r="A14075" s="5">
        <f>14067</f>
      </c>
      <c r="B14075" s="5" t="s">
        <v>13346</v>
      </c>
      <c r="C14075" s="5" t="s">
        <v>11</v>
      </c>
      <c r="D14075" s="5" t="s">
        <v>12</v>
      </c>
      <c r="E14075" s="5" t="s">
        <v>4103</v>
      </c>
    </row>
    <row r="14076" spans="1:5" x14ac:dyDescent="0.25">
      <c r="A14076" s="5">
        <f>14068</f>
      </c>
      <c r="B14076" s="5" t="s">
        <v>13347</v>
      </c>
      <c r="C14076" s="5" t="s">
        <v>11</v>
      </c>
      <c r="D14076" s="5" t="s">
        <v>12</v>
      </c>
      <c r="E14076" s="5" t="s">
        <v>4103</v>
      </c>
    </row>
    <row r="14077" spans="1:5" x14ac:dyDescent="0.25">
      <c r="A14077" s="5">
        <f>14069</f>
      </c>
      <c r="B14077" s="5" t="s">
        <v>13348</v>
      </c>
      <c r="C14077" s="5" t="s">
        <v>11</v>
      </c>
      <c r="D14077" s="5" t="s">
        <v>12</v>
      </c>
      <c r="E14077" s="5" t="s">
        <v>10557</v>
      </c>
    </row>
    <row r="14078" spans="1:5" x14ac:dyDescent="0.25">
      <c r="A14078" s="5">
        <f>14070</f>
      </c>
      <c r="B14078" s="5" t="s">
        <v>13349</v>
      </c>
      <c r="C14078" s="5" t="s">
        <v>11</v>
      </c>
      <c r="D14078" s="5" t="s">
        <v>12</v>
      </c>
      <c r="E14078" s="5" t="s">
        <v>3709</v>
      </c>
    </row>
    <row r="14079" spans="1:5" x14ac:dyDescent="0.25">
      <c r="A14079" s="5">
        <f>14071</f>
      </c>
      <c r="B14079" s="5" t="s">
        <v>13350</v>
      </c>
      <c r="C14079" s="5" t="s">
        <v>11</v>
      </c>
      <c r="D14079" s="5" t="s">
        <v>12</v>
      </c>
      <c r="E14079" s="5" t="s">
        <v>3709</v>
      </c>
    </row>
    <row r="14080" spans="1:5" x14ac:dyDescent="0.25">
      <c r="A14080" s="5">
        <f>14072</f>
      </c>
      <c r="B14080" s="5" t="s">
        <v>13351</v>
      </c>
      <c r="C14080" s="5" t="s">
        <v>11</v>
      </c>
      <c r="D14080" s="5" t="s">
        <v>12</v>
      </c>
      <c r="E14080" s="5" t="s">
        <v>2381</v>
      </c>
    </row>
    <row r="14081" spans="1:5" x14ac:dyDescent="0.25">
      <c r="A14081" s="5">
        <f>14073</f>
      </c>
      <c r="B14081" s="5" t="s">
        <v>13352</v>
      </c>
      <c r="C14081" s="5" t="s">
        <v>11</v>
      </c>
      <c r="D14081" s="5" t="s">
        <v>12</v>
      </c>
      <c r="E14081" s="5" t="s">
        <v>2381</v>
      </c>
    </row>
    <row r="14082" spans="1:5" x14ac:dyDescent="0.25">
      <c r="A14082" s="5">
        <f>14074</f>
      </c>
      <c r="B14082" s="5" t="s">
        <v>13353</v>
      </c>
      <c r="C14082" s="5" t="s">
        <v>11</v>
      </c>
      <c r="D14082" s="5" t="s">
        <v>12</v>
      </c>
      <c r="E14082" s="5" t="s">
        <v>2381</v>
      </c>
    </row>
    <row r="14083" spans="1:5" x14ac:dyDescent="0.25">
      <c r="A14083" s="5">
        <f>14075</f>
      </c>
      <c r="B14083" s="5" t="s">
        <v>13354</v>
      </c>
      <c r="C14083" s="5" t="s">
        <v>11</v>
      </c>
      <c r="D14083" s="5" t="s">
        <v>12</v>
      </c>
      <c r="E14083" s="5" t="s">
        <v>3500</v>
      </c>
    </row>
    <row r="14084" spans="1:5" x14ac:dyDescent="0.25">
      <c r="A14084" s="5">
        <f>14076</f>
      </c>
      <c r="B14084" s="5" t="s">
        <v>13355</v>
      </c>
      <c r="C14084" s="5" t="s">
        <v>11</v>
      </c>
      <c r="D14084" s="5" t="s">
        <v>12</v>
      </c>
      <c r="E14084" s="5" t="s">
        <v>3500</v>
      </c>
    </row>
    <row r="14085" spans="1:5" x14ac:dyDescent="0.25">
      <c r="A14085" s="5">
        <f>14077</f>
      </c>
      <c r="B14085" s="5" t="s">
        <v>13356</v>
      </c>
      <c r="C14085" s="5" t="s">
        <v>11</v>
      </c>
      <c r="D14085" s="5" t="s">
        <v>12</v>
      </c>
      <c r="E14085" s="5" t="s">
        <v>3891</v>
      </c>
    </row>
    <row r="14086" spans="1:5" x14ac:dyDescent="0.25">
      <c r="A14086" s="5">
        <f>14078</f>
      </c>
      <c r="B14086" s="5" t="s">
        <v>13357</v>
      </c>
      <c r="C14086" s="5" t="s">
        <v>11</v>
      </c>
      <c r="D14086" s="5" t="s">
        <v>12</v>
      </c>
      <c r="E14086" s="5" t="s">
        <v>3765</v>
      </c>
    </row>
    <row r="14087" spans="1:5" x14ac:dyDescent="0.25">
      <c r="A14087" s="5">
        <f>14079</f>
      </c>
      <c r="B14087" s="5" t="s">
        <v>13358</v>
      </c>
      <c r="C14087" s="5" t="s">
        <v>11</v>
      </c>
      <c r="D14087" s="5" t="s">
        <v>12</v>
      </c>
      <c r="E14087" s="5" t="s">
        <v>3866</v>
      </c>
    </row>
    <row r="14088" spans="1:5" x14ac:dyDescent="0.25">
      <c r="A14088" s="5">
        <f>14080</f>
      </c>
      <c r="B14088" s="5" t="s">
        <v>13359</v>
      </c>
      <c r="C14088" s="5" t="s">
        <v>11</v>
      </c>
      <c r="D14088" s="5" t="s">
        <v>12</v>
      </c>
      <c r="E14088" s="5" t="s">
        <v>2251</v>
      </c>
    </row>
    <row r="14089" spans="1:5" x14ac:dyDescent="0.25">
      <c r="A14089" s="5">
        <f>14081</f>
      </c>
      <c r="B14089" s="5" t="s">
        <v>13360</v>
      </c>
      <c r="C14089" s="5" t="s">
        <v>11</v>
      </c>
      <c r="D14089" s="5" t="s">
        <v>12</v>
      </c>
      <c r="E14089" s="5" t="s">
        <v>10580</v>
      </c>
    </row>
    <row r="14090" spans="1:5" x14ac:dyDescent="0.25">
      <c r="A14090" s="5">
        <f>14082</f>
      </c>
      <c r="B14090" s="5" t="s">
        <v>13361</v>
      </c>
      <c r="C14090" s="5" t="s">
        <v>11</v>
      </c>
      <c r="D14090" s="5" t="s">
        <v>12</v>
      </c>
      <c r="E14090" s="5" t="s">
        <v>2327</v>
      </c>
    </row>
    <row r="14091" spans="1:5" x14ac:dyDescent="0.25">
      <c r="A14091" s="5">
        <f>14083</f>
      </c>
      <c r="B14091" s="5" t="s">
        <v>13362</v>
      </c>
      <c r="C14091" s="5" t="s">
        <v>11</v>
      </c>
      <c r="D14091" s="5" t="s">
        <v>12</v>
      </c>
      <c r="E14091" s="5" t="s">
        <v>2389</v>
      </c>
    </row>
    <row r="14092" spans="1:5" x14ac:dyDescent="0.25">
      <c r="A14092" s="5">
        <f>14084</f>
      </c>
      <c r="B14092" s="5" t="s">
        <v>13363</v>
      </c>
      <c r="C14092" s="5" t="s">
        <v>11</v>
      </c>
      <c r="D14092" s="5" t="s">
        <v>12</v>
      </c>
      <c r="E14092" s="5" t="s">
        <v>3610</v>
      </c>
    </row>
    <row r="14093" spans="1:5" x14ac:dyDescent="0.25">
      <c r="A14093" s="5">
        <f>14085</f>
      </c>
      <c r="B14093" s="5" t="s">
        <v>13364</v>
      </c>
      <c r="C14093" s="5" t="s">
        <v>11</v>
      </c>
      <c r="D14093" s="5" t="s">
        <v>12</v>
      </c>
      <c r="E14093" s="5" t="s">
        <v>871</v>
      </c>
    </row>
    <row r="14094" spans="1:5" x14ac:dyDescent="0.25">
      <c r="A14094" s="5">
        <f>14086</f>
      </c>
      <c r="B14094" s="5" t="s">
        <v>13365</v>
      </c>
      <c r="C14094" s="5" t="s">
        <v>11</v>
      </c>
      <c r="D14094" s="5" t="s">
        <v>12</v>
      </c>
      <c r="E14094" s="5" t="s">
        <v>3869</v>
      </c>
    </row>
    <row r="14095" spans="1:5" x14ac:dyDescent="0.25">
      <c r="A14095" s="5">
        <f>14087</f>
      </c>
      <c r="B14095" s="5" t="s">
        <v>13366</v>
      </c>
      <c r="C14095" s="5" t="s">
        <v>11</v>
      </c>
      <c r="D14095" s="5" t="s">
        <v>12</v>
      </c>
      <c r="E14095" s="5" t="s">
        <v>3767</v>
      </c>
    </row>
    <row r="14096" spans="1:5" x14ac:dyDescent="0.25">
      <c r="A14096" s="5">
        <f>14088</f>
      </c>
      <c r="B14096" s="5" t="s">
        <v>13367</v>
      </c>
      <c r="C14096" s="5" t="s">
        <v>11</v>
      </c>
      <c r="D14096" s="5" t="s">
        <v>12</v>
      </c>
      <c r="E14096" s="5" t="s">
        <v>3571</v>
      </c>
    </row>
    <row r="14097" spans="1:5" x14ac:dyDescent="0.25">
      <c r="A14097" s="5">
        <f>14089</f>
      </c>
      <c r="B14097" s="5" t="s">
        <v>13368</v>
      </c>
      <c r="C14097" s="5" t="s">
        <v>11</v>
      </c>
      <c r="D14097" s="5" t="s">
        <v>12</v>
      </c>
      <c r="E14097" s="5" t="s">
        <v>3571</v>
      </c>
    </row>
    <row r="14098" spans="1:5" x14ac:dyDescent="0.25">
      <c r="A14098" s="5">
        <f>14090</f>
      </c>
      <c r="B14098" s="5" t="s">
        <v>13369</v>
      </c>
      <c r="C14098" s="5" t="s">
        <v>11</v>
      </c>
      <c r="D14098" s="5" t="s">
        <v>12</v>
      </c>
      <c r="E14098" s="5" t="s">
        <v>1051</v>
      </c>
    </row>
    <row r="14099" spans="1:5" x14ac:dyDescent="0.25">
      <c r="A14099" s="5">
        <f>14091</f>
      </c>
      <c r="B14099" s="5" t="s">
        <v>13370</v>
      </c>
      <c r="C14099" s="5" t="s">
        <v>11</v>
      </c>
      <c r="D14099" s="5" t="s">
        <v>12</v>
      </c>
      <c r="E14099" s="5" t="s">
        <v>1051</v>
      </c>
    </row>
    <row r="14100" spans="1:5" x14ac:dyDescent="0.25">
      <c r="A14100" s="5">
        <f>14092</f>
      </c>
      <c r="B14100" s="5" t="s">
        <v>13371</v>
      </c>
      <c r="C14100" s="5" t="s">
        <v>11</v>
      </c>
      <c r="D14100" s="5" t="s">
        <v>12</v>
      </c>
      <c r="E14100" s="5" t="s">
        <v>3580</v>
      </c>
    </row>
    <row r="14101" spans="1:5" x14ac:dyDescent="0.25">
      <c r="A14101" s="5">
        <f>14093</f>
      </c>
      <c r="B14101" s="5" t="s">
        <v>13372</v>
      </c>
      <c r="C14101" s="5" t="s">
        <v>11</v>
      </c>
      <c r="D14101" s="5" t="s">
        <v>12</v>
      </c>
      <c r="E14101" s="5" t="s">
        <v>2331</v>
      </c>
    </row>
    <row r="14102" spans="1:5" x14ac:dyDescent="0.25">
      <c r="A14102" s="5">
        <f>14094</f>
      </c>
      <c r="B14102" s="5" t="s">
        <v>13373</v>
      </c>
      <c r="C14102" s="5" t="s">
        <v>11</v>
      </c>
      <c r="D14102" s="5" t="s">
        <v>12</v>
      </c>
      <c r="E14102" s="5" t="s">
        <v>1074</v>
      </c>
    </row>
    <row r="14103" spans="1:5" x14ac:dyDescent="0.25">
      <c r="A14103" s="5">
        <f>14095</f>
      </c>
      <c r="B14103" s="5" t="s">
        <v>13374</v>
      </c>
      <c r="C14103" s="5" t="s">
        <v>11</v>
      </c>
      <c r="D14103" s="5" t="s">
        <v>12</v>
      </c>
      <c r="E14103" s="5" t="s">
        <v>1074</v>
      </c>
    </row>
    <row r="14104" spans="1:5" x14ac:dyDescent="0.25">
      <c r="A14104" s="5">
        <f>14096</f>
      </c>
      <c r="B14104" s="5" t="s">
        <v>13375</v>
      </c>
      <c r="C14104" s="5" t="s">
        <v>11</v>
      </c>
      <c r="D14104" s="5" t="s">
        <v>12</v>
      </c>
      <c r="E14104" s="5" t="s">
        <v>828</v>
      </c>
    </row>
    <row r="14105" spans="1:5" x14ac:dyDescent="0.25">
      <c r="A14105" s="5">
        <f>14097</f>
      </c>
      <c r="B14105" s="5" t="s">
        <v>13376</v>
      </c>
      <c r="C14105" s="5" t="s">
        <v>11</v>
      </c>
      <c r="D14105" s="5" t="s">
        <v>12</v>
      </c>
      <c r="E14105" s="5" t="s">
        <v>828</v>
      </c>
    </row>
    <row r="14106" spans="1:5" x14ac:dyDescent="0.25">
      <c r="A14106" s="5">
        <f>14098</f>
      </c>
      <c r="B14106" s="5" t="s">
        <v>13377</v>
      </c>
      <c r="C14106" s="5" t="s">
        <v>11</v>
      </c>
      <c r="D14106" s="5" t="s">
        <v>12</v>
      </c>
      <c r="E14106" s="5" t="s">
        <v>828</v>
      </c>
    </row>
    <row r="14107" spans="1:5" x14ac:dyDescent="0.25">
      <c r="A14107" s="5">
        <f>14099</f>
      </c>
      <c r="B14107" s="5" t="s">
        <v>13378</v>
      </c>
      <c r="C14107" s="5" t="s">
        <v>11</v>
      </c>
      <c r="D14107" s="5" t="s">
        <v>12</v>
      </c>
      <c r="E14107" s="5" t="s">
        <v>828</v>
      </c>
    </row>
    <row r="14108" spans="1:5" x14ac:dyDescent="0.25">
      <c r="A14108" s="5">
        <f>14100</f>
      </c>
      <c r="B14108" s="5" t="s">
        <v>13379</v>
      </c>
      <c r="C14108" s="5" t="s">
        <v>11</v>
      </c>
      <c r="D14108" s="5" t="s">
        <v>12</v>
      </c>
      <c r="E14108" s="5" t="s">
        <v>828</v>
      </c>
    </row>
    <row r="14109" spans="1:5" x14ac:dyDescent="0.25">
      <c r="A14109" s="5">
        <f>14101</f>
      </c>
      <c r="B14109" s="5" t="s">
        <v>13380</v>
      </c>
      <c r="C14109" s="5" t="s">
        <v>11</v>
      </c>
      <c r="D14109" s="5" t="s">
        <v>12</v>
      </c>
      <c r="E14109" s="5" t="s">
        <v>828</v>
      </c>
    </row>
    <row r="14110" spans="1:5" x14ac:dyDescent="0.25">
      <c r="A14110" s="5">
        <f>14102</f>
      </c>
      <c r="B14110" s="5" t="s">
        <v>13381</v>
      </c>
      <c r="C14110" s="5" t="s">
        <v>11</v>
      </c>
      <c r="D14110" s="5" t="s">
        <v>12</v>
      </c>
      <c r="E14110" s="5" t="s">
        <v>828</v>
      </c>
    </row>
    <row r="14111" spans="1:5" x14ac:dyDescent="0.25">
      <c r="A14111" s="5">
        <f>14103</f>
      </c>
      <c r="B14111" s="5" t="s">
        <v>13382</v>
      </c>
      <c r="C14111" s="5" t="s">
        <v>11</v>
      </c>
      <c r="D14111" s="5" t="s">
        <v>12</v>
      </c>
      <c r="E14111" s="5" t="s">
        <v>828</v>
      </c>
    </row>
    <row r="14112" spans="1:5" x14ac:dyDescent="0.25">
      <c r="A14112" s="5">
        <f>14104</f>
      </c>
      <c r="B14112" s="5" t="s">
        <v>13383</v>
      </c>
      <c r="C14112" s="5" t="s">
        <v>11</v>
      </c>
      <c r="D14112" s="5" t="s">
        <v>12</v>
      </c>
      <c r="E14112" s="5" t="s">
        <v>975</v>
      </c>
    </row>
    <row r="14113" spans="1:5" x14ac:dyDescent="0.25">
      <c r="A14113" s="5">
        <f>14105</f>
      </c>
      <c r="B14113" s="5" t="s">
        <v>13384</v>
      </c>
      <c r="C14113" s="5" t="s">
        <v>11</v>
      </c>
      <c r="D14113" s="5" t="s">
        <v>12</v>
      </c>
      <c r="E14113" s="5" t="s">
        <v>975</v>
      </c>
    </row>
    <row r="14114" spans="1:5" x14ac:dyDescent="0.25">
      <c r="A14114" s="5">
        <f>14106</f>
      </c>
      <c r="B14114" s="5" t="s">
        <v>13385</v>
      </c>
      <c r="C14114" s="5" t="s">
        <v>11</v>
      </c>
      <c r="D14114" s="5" t="s">
        <v>12</v>
      </c>
      <c r="E14114" s="5" t="s">
        <v>975</v>
      </c>
    </row>
    <row r="14115" spans="1:5" x14ac:dyDescent="0.25">
      <c r="A14115" s="5">
        <f>14107</f>
      </c>
      <c r="B14115" s="5" t="s">
        <v>13386</v>
      </c>
      <c r="C14115" s="5" t="s">
        <v>11</v>
      </c>
      <c r="D14115" s="5" t="s">
        <v>12</v>
      </c>
      <c r="E14115" s="5" t="s">
        <v>975</v>
      </c>
    </row>
    <row r="14116" spans="1:5" x14ac:dyDescent="0.25">
      <c r="A14116" s="5">
        <f>14108</f>
      </c>
      <c r="B14116" s="5" t="s">
        <v>13387</v>
      </c>
      <c r="C14116" s="5" t="s">
        <v>11</v>
      </c>
      <c r="D14116" s="5" t="s">
        <v>12</v>
      </c>
      <c r="E14116" s="5" t="s">
        <v>975</v>
      </c>
    </row>
    <row r="14117" spans="1:5" x14ac:dyDescent="0.25">
      <c r="A14117" s="5">
        <f>14109</f>
      </c>
      <c r="B14117" s="5" t="s">
        <v>13388</v>
      </c>
      <c r="C14117" s="5" t="s">
        <v>11</v>
      </c>
      <c r="D14117" s="5" t="s">
        <v>12</v>
      </c>
      <c r="E14117" s="5" t="s">
        <v>975</v>
      </c>
    </row>
    <row r="14118" spans="1:5" x14ac:dyDescent="0.25">
      <c r="A14118" s="5">
        <f>14110</f>
      </c>
      <c r="B14118" s="5" t="s">
        <v>13389</v>
      </c>
      <c r="C14118" s="5" t="s">
        <v>11</v>
      </c>
      <c r="D14118" s="5" t="s">
        <v>12</v>
      </c>
      <c r="E14118" s="5" t="s">
        <v>975</v>
      </c>
    </row>
    <row r="14119" spans="1:5" x14ac:dyDescent="0.25">
      <c r="A14119" s="5">
        <f>14111</f>
      </c>
      <c r="B14119" s="5" t="s">
        <v>13390</v>
      </c>
      <c r="C14119" s="5" t="s">
        <v>11</v>
      </c>
      <c r="D14119" s="5" t="s">
        <v>12</v>
      </c>
      <c r="E14119" s="5" t="s">
        <v>975</v>
      </c>
    </row>
    <row r="14120" spans="1:5" x14ac:dyDescent="0.25">
      <c r="A14120" s="5">
        <f>14112</f>
      </c>
      <c r="B14120" s="5" t="s">
        <v>13391</v>
      </c>
      <c r="C14120" s="5" t="s">
        <v>11</v>
      </c>
      <c r="D14120" s="5" t="s">
        <v>12</v>
      </c>
      <c r="E14120" s="5" t="s">
        <v>975</v>
      </c>
    </row>
    <row r="14121" spans="1:5" x14ac:dyDescent="0.25">
      <c r="A14121" s="5">
        <f>14113</f>
      </c>
      <c r="B14121" s="5" t="s">
        <v>13392</v>
      </c>
      <c r="C14121" s="5" t="s">
        <v>11</v>
      </c>
      <c r="D14121" s="5" t="s">
        <v>12</v>
      </c>
      <c r="E14121" s="5" t="s">
        <v>975</v>
      </c>
    </row>
    <row r="14122" spans="1:5" x14ac:dyDescent="0.25">
      <c r="A14122" s="5">
        <f>14114</f>
      </c>
      <c r="B14122" s="5" t="s">
        <v>13393</v>
      </c>
      <c r="C14122" s="5" t="s">
        <v>11</v>
      </c>
      <c r="D14122" s="5" t="s">
        <v>12</v>
      </c>
      <c r="E14122" s="5" t="s">
        <v>975</v>
      </c>
    </row>
    <row r="14123" spans="1:5" x14ac:dyDescent="0.25">
      <c r="A14123" s="5">
        <f>14115</f>
      </c>
      <c r="B14123" s="5" t="s">
        <v>13394</v>
      </c>
      <c r="C14123" s="5" t="s">
        <v>11</v>
      </c>
      <c r="D14123" s="5" t="s">
        <v>12</v>
      </c>
      <c r="E14123" s="5" t="s">
        <v>975</v>
      </c>
    </row>
    <row r="14124" spans="1:5" x14ac:dyDescent="0.25">
      <c r="A14124" s="5">
        <f>14116</f>
      </c>
      <c r="B14124" s="5" t="s">
        <v>13395</v>
      </c>
      <c r="C14124" s="5" t="s">
        <v>11</v>
      </c>
      <c r="D14124" s="5" t="s">
        <v>12</v>
      </c>
      <c r="E14124" s="5" t="s">
        <v>975</v>
      </c>
    </row>
    <row r="14125" spans="1:5" x14ac:dyDescent="0.25">
      <c r="A14125" s="5">
        <f>14117</f>
      </c>
      <c r="B14125" s="5" t="s">
        <v>13396</v>
      </c>
      <c r="C14125" s="5" t="s">
        <v>11</v>
      </c>
      <c r="D14125" s="5" t="s">
        <v>12</v>
      </c>
      <c r="E14125" s="5" t="s">
        <v>975</v>
      </c>
    </row>
    <row r="14126" spans="1:5" x14ac:dyDescent="0.25">
      <c r="A14126" s="5">
        <f>14118</f>
      </c>
      <c r="B14126" s="5" t="s">
        <v>13397</v>
      </c>
      <c r="C14126" s="5" t="s">
        <v>11</v>
      </c>
      <c r="D14126" s="5" t="s">
        <v>12</v>
      </c>
      <c r="E14126" s="5" t="s">
        <v>975</v>
      </c>
    </row>
    <row r="14127" spans="1:5" x14ac:dyDescent="0.25">
      <c r="A14127" s="5">
        <f>14119</f>
      </c>
      <c r="B14127" s="5" t="s">
        <v>13398</v>
      </c>
      <c r="C14127" s="5" t="s">
        <v>11</v>
      </c>
      <c r="D14127" s="5" t="s">
        <v>12</v>
      </c>
      <c r="E14127" s="5" t="s">
        <v>975</v>
      </c>
    </row>
    <row r="14128" spans="1:5" x14ac:dyDescent="0.25">
      <c r="A14128" s="5">
        <f>14120</f>
      </c>
      <c r="B14128" s="5" t="s">
        <v>13399</v>
      </c>
      <c r="C14128" s="5" t="s">
        <v>11</v>
      </c>
      <c r="D14128" s="5" t="s">
        <v>12</v>
      </c>
      <c r="E14128" s="5" t="s">
        <v>975</v>
      </c>
    </row>
    <row r="14129" spans="1:5" x14ac:dyDescent="0.25">
      <c r="A14129" s="5">
        <f>14121</f>
      </c>
      <c r="B14129" s="5" t="s">
        <v>13400</v>
      </c>
      <c r="C14129" s="5" t="s">
        <v>11</v>
      </c>
      <c r="D14129" s="5" t="s">
        <v>12</v>
      </c>
      <c r="E14129" s="5" t="s">
        <v>975</v>
      </c>
    </row>
    <row r="14130" spans="1:5" x14ac:dyDescent="0.25">
      <c r="A14130" s="5">
        <f>14122</f>
      </c>
      <c r="B14130" s="5" t="s">
        <v>13401</v>
      </c>
      <c r="C14130" s="5" t="s">
        <v>11</v>
      </c>
      <c r="D14130" s="5" t="s">
        <v>12</v>
      </c>
      <c r="E14130" s="5" t="s">
        <v>975</v>
      </c>
    </row>
    <row r="14131" spans="1:5" x14ac:dyDescent="0.25">
      <c r="A14131" s="5">
        <f>14123</f>
      </c>
      <c r="B14131" s="5" t="s">
        <v>13402</v>
      </c>
      <c r="C14131" s="5" t="s">
        <v>11</v>
      </c>
      <c r="D14131" s="5" t="s">
        <v>12</v>
      </c>
      <c r="E14131" s="5" t="s">
        <v>975</v>
      </c>
    </row>
    <row r="14132" spans="1:5" x14ac:dyDescent="0.25">
      <c r="A14132" s="5">
        <f>14124</f>
      </c>
      <c r="B14132" s="5" t="s">
        <v>13403</v>
      </c>
      <c r="C14132" s="5" t="s">
        <v>11</v>
      </c>
      <c r="D14132" s="5" t="s">
        <v>12</v>
      </c>
      <c r="E14132" s="5" t="s">
        <v>975</v>
      </c>
    </row>
    <row r="14133" spans="1:5" x14ac:dyDescent="0.25">
      <c r="A14133" s="5">
        <f>14125</f>
      </c>
      <c r="B14133" s="5" t="s">
        <v>13404</v>
      </c>
      <c r="C14133" s="5" t="s">
        <v>11</v>
      </c>
      <c r="D14133" s="5" t="s">
        <v>12</v>
      </c>
      <c r="E14133" s="5" t="s">
        <v>975</v>
      </c>
    </row>
    <row r="14134" spans="1:5" x14ac:dyDescent="0.25">
      <c r="A14134" s="5">
        <f>14126</f>
      </c>
      <c r="B14134" s="5" t="s">
        <v>13405</v>
      </c>
      <c r="C14134" s="5" t="s">
        <v>11</v>
      </c>
      <c r="D14134" s="5" t="s">
        <v>12</v>
      </c>
      <c r="E14134" s="5" t="s">
        <v>975</v>
      </c>
    </row>
    <row r="14135" spans="1:5" x14ac:dyDescent="0.25">
      <c r="A14135" s="5">
        <f>14127</f>
      </c>
      <c r="B14135" s="5" t="s">
        <v>13406</v>
      </c>
      <c r="C14135" s="5" t="s">
        <v>11</v>
      </c>
      <c r="D14135" s="5" t="s">
        <v>12</v>
      </c>
      <c r="E14135" s="5" t="s">
        <v>975</v>
      </c>
    </row>
    <row r="14136" spans="1:5" x14ac:dyDescent="0.25">
      <c r="A14136" s="5">
        <f>14128</f>
      </c>
      <c r="B14136" s="5" t="s">
        <v>13407</v>
      </c>
      <c r="C14136" s="5" t="s">
        <v>11</v>
      </c>
      <c r="D14136" s="5" t="s">
        <v>12</v>
      </c>
      <c r="E14136" s="5" t="s">
        <v>975</v>
      </c>
    </row>
    <row r="14137" spans="1:5" x14ac:dyDescent="0.25">
      <c r="A14137" s="5">
        <f>14129</f>
      </c>
      <c r="B14137" s="5" t="s">
        <v>13408</v>
      </c>
      <c r="C14137" s="5" t="s">
        <v>11</v>
      </c>
      <c r="D14137" s="5" t="s">
        <v>12</v>
      </c>
      <c r="E14137" s="5" t="s">
        <v>975</v>
      </c>
    </row>
    <row r="14138" spans="1:5" x14ac:dyDescent="0.25">
      <c r="A14138" s="5">
        <f>14130</f>
      </c>
      <c r="B14138" s="5" t="s">
        <v>13409</v>
      </c>
      <c r="C14138" s="5" t="s">
        <v>11</v>
      </c>
      <c r="D14138" s="5" t="s">
        <v>12</v>
      </c>
      <c r="E14138" s="5" t="s">
        <v>975</v>
      </c>
    </row>
    <row r="14139" spans="1:5" x14ac:dyDescent="0.25">
      <c r="A14139" s="5">
        <f>14131</f>
      </c>
      <c r="B14139" s="5" t="s">
        <v>13410</v>
      </c>
      <c r="C14139" s="5" t="s">
        <v>11</v>
      </c>
      <c r="D14139" s="5" t="s">
        <v>12</v>
      </c>
      <c r="E14139" s="5" t="s">
        <v>975</v>
      </c>
    </row>
    <row r="14140" spans="1:5" x14ac:dyDescent="0.25">
      <c r="A14140" s="5">
        <f>14132</f>
      </c>
      <c r="B14140" s="5" t="s">
        <v>13411</v>
      </c>
      <c r="C14140" s="5" t="s">
        <v>11</v>
      </c>
      <c r="D14140" s="5" t="s">
        <v>12</v>
      </c>
      <c r="E14140" s="5" t="s">
        <v>975</v>
      </c>
    </row>
    <row r="14141" spans="1:5" x14ac:dyDescent="0.25">
      <c r="A14141" s="5">
        <f>14133</f>
      </c>
      <c r="B14141" s="5" t="s">
        <v>13412</v>
      </c>
      <c r="C14141" s="5" t="s">
        <v>11</v>
      </c>
      <c r="D14141" s="5" t="s">
        <v>12</v>
      </c>
      <c r="E14141" s="5" t="s">
        <v>975</v>
      </c>
    </row>
    <row r="14142" spans="1:5" x14ac:dyDescent="0.25">
      <c r="A14142" s="5">
        <f>14134</f>
      </c>
      <c r="B14142" s="5" t="s">
        <v>13413</v>
      </c>
      <c r="C14142" s="5" t="s">
        <v>11</v>
      </c>
      <c r="D14142" s="5" t="s">
        <v>12</v>
      </c>
      <c r="E14142" s="5" t="s">
        <v>975</v>
      </c>
    </row>
    <row r="14143" spans="1:5" x14ac:dyDescent="0.25">
      <c r="A14143" s="5">
        <f>14135</f>
      </c>
      <c r="B14143" s="5" t="s">
        <v>13414</v>
      </c>
      <c r="C14143" s="5" t="s">
        <v>11</v>
      </c>
      <c r="D14143" s="5" t="s">
        <v>12</v>
      </c>
      <c r="E14143" s="5" t="s">
        <v>975</v>
      </c>
    </row>
    <row r="14144" spans="1:5" x14ac:dyDescent="0.25">
      <c r="A14144" s="5">
        <f>14136</f>
      </c>
      <c r="B14144" s="5" t="s">
        <v>13415</v>
      </c>
      <c r="C14144" s="5" t="s">
        <v>11</v>
      </c>
      <c r="D14144" s="5" t="s">
        <v>12</v>
      </c>
      <c r="E14144" s="5" t="s">
        <v>975</v>
      </c>
    </row>
    <row r="14145" spans="1:5" x14ac:dyDescent="0.25">
      <c r="A14145" s="5">
        <f>14137</f>
      </c>
      <c r="B14145" s="5" t="s">
        <v>13416</v>
      </c>
      <c r="C14145" s="5" t="s">
        <v>11</v>
      </c>
      <c r="D14145" s="5" t="s">
        <v>12</v>
      </c>
      <c r="E14145" s="5" t="s">
        <v>975</v>
      </c>
    </row>
    <row r="14146" spans="1:5" x14ac:dyDescent="0.25">
      <c r="A14146" s="5">
        <f>14138</f>
      </c>
      <c r="B14146" s="5" t="s">
        <v>13417</v>
      </c>
      <c r="C14146" s="5" t="s">
        <v>11</v>
      </c>
      <c r="D14146" s="5" t="s">
        <v>12</v>
      </c>
      <c r="E14146" s="5" t="s">
        <v>975</v>
      </c>
    </row>
    <row r="14147" spans="1:5" x14ac:dyDescent="0.25">
      <c r="A14147" s="5">
        <f>14139</f>
      </c>
      <c r="B14147" s="5" t="s">
        <v>13418</v>
      </c>
      <c r="C14147" s="5" t="s">
        <v>11</v>
      </c>
      <c r="D14147" s="5" t="s">
        <v>12</v>
      </c>
      <c r="E14147" s="5" t="s">
        <v>975</v>
      </c>
    </row>
    <row r="14148" spans="1:5" x14ac:dyDescent="0.25">
      <c r="A14148" s="5">
        <f>14140</f>
      </c>
      <c r="B14148" s="5" t="s">
        <v>13419</v>
      </c>
      <c r="C14148" s="5" t="s">
        <v>11</v>
      </c>
      <c r="D14148" s="5" t="s">
        <v>12</v>
      </c>
      <c r="E14148" s="5" t="s">
        <v>975</v>
      </c>
    </row>
    <row r="14149" spans="1:5" x14ac:dyDescent="0.25">
      <c r="A14149" s="5">
        <f>14141</f>
      </c>
      <c r="B14149" s="5" t="s">
        <v>13420</v>
      </c>
      <c r="C14149" s="5" t="s">
        <v>11</v>
      </c>
      <c r="D14149" s="5" t="s">
        <v>12</v>
      </c>
      <c r="E14149" s="5" t="s">
        <v>975</v>
      </c>
    </row>
    <row r="14150" spans="1:5" x14ac:dyDescent="0.25">
      <c r="A14150" s="5">
        <f>14142</f>
      </c>
      <c r="B14150" s="5" t="s">
        <v>13421</v>
      </c>
      <c r="C14150" s="5" t="s">
        <v>11</v>
      </c>
      <c r="D14150" s="5" t="s">
        <v>12</v>
      </c>
      <c r="E14150" s="5" t="s">
        <v>975</v>
      </c>
    </row>
    <row r="14151" spans="1:5" x14ac:dyDescent="0.25">
      <c r="A14151" s="5">
        <f>14143</f>
      </c>
      <c r="B14151" s="5" t="s">
        <v>13422</v>
      </c>
      <c r="C14151" s="5" t="s">
        <v>11</v>
      </c>
      <c r="D14151" s="5" t="s">
        <v>12</v>
      </c>
      <c r="E14151" s="5" t="s">
        <v>975</v>
      </c>
    </row>
    <row r="14152" spans="1:5" x14ac:dyDescent="0.25">
      <c r="A14152" s="5">
        <f>14144</f>
      </c>
      <c r="B14152" s="5" t="s">
        <v>13423</v>
      </c>
      <c r="C14152" s="5" t="s">
        <v>11</v>
      </c>
      <c r="D14152" s="5" t="s">
        <v>12</v>
      </c>
      <c r="E14152" s="5" t="s">
        <v>975</v>
      </c>
    </row>
    <row r="14153" spans="1:5" x14ac:dyDescent="0.25">
      <c r="A14153" s="5">
        <f>14145</f>
      </c>
      <c r="B14153" s="5" t="s">
        <v>13424</v>
      </c>
      <c r="C14153" s="5" t="s">
        <v>11</v>
      </c>
      <c r="D14153" s="5" t="s">
        <v>12</v>
      </c>
      <c r="E14153" s="5" t="s">
        <v>975</v>
      </c>
    </row>
    <row r="14154" spans="1:5" x14ac:dyDescent="0.25">
      <c r="A14154" s="5">
        <f>14146</f>
      </c>
      <c r="B14154" s="5" t="s">
        <v>13425</v>
      </c>
      <c r="C14154" s="5" t="s">
        <v>11</v>
      </c>
      <c r="D14154" s="5" t="s">
        <v>12</v>
      </c>
      <c r="E14154" s="5" t="s">
        <v>975</v>
      </c>
    </row>
    <row r="14155" spans="1:5" x14ac:dyDescent="0.25">
      <c r="A14155" s="5">
        <f>14147</f>
      </c>
      <c r="B14155" s="5" t="s">
        <v>13426</v>
      </c>
      <c r="C14155" s="5" t="s">
        <v>11</v>
      </c>
      <c r="D14155" s="5" t="s">
        <v>12</v>
      </c>
      <c r="E14155" s="5" t="s">
        <v>975</v>
      </c>
    </row>
    <row r="14156" spans="1:5" x14ac:dyDescent="0.25">
      <c r="A14156" s="5">
        <f>14148</f>
      </c>
      <c r="B14156" s="5" t="s">
        <v>13427</v>
      </c>
      <c r="C14156" s="5" t="s">
        <v>11</v>
      </c>
      <c r="D14156" s="5" t="s">
        <v>12</v>
      </c>
      <c r="E14156" s="5" t="s">
        <v>975</v>
      </c>
    </row>
    <row r="14157" spans="1:5" x14ac:dyDescent="0.25">
      <c r="A14157" s="5">
        <f>14149</f>
      </c>
      <c r="B14157" s="5" t="s">
        <v>13428</v>
      </c>
      <c r="C14157" s="5" t="s">
        <v>11</v>
      </c>
      <c r="D14157" s="5" t="s">
        <v>12</v>
      </c>
      <c r="E14157" s="5" t="s">
        <v>975</v>
      </c>
    </row>
    <row r="14158" spans="1:5" x14ac:dyDescent="0.25">
      <c r="A14158" s="5">
        <f>14150</f>
      </c>
      <c r="B14158" s="5" t="s">
        <v>13429</v>
      </c>
      <c r="C14158" s="5" t="s">
        <v>11</v>
      </c>
      <c r="D14158" s="5" t="s">
        <v>12</v>
      </c>
      <c r="E14158" s="5" t="s">
        <v>975</v>
      </c>
    </row>
    <row r="14159" spans="1:5" x14ac:dyDescent="0.25">
      <c r="A14159" s="5">
        <f>14151</f>
      </c>
      <c r="B14159" s="5" t="s">
        <v>13430</v>
      </c>
      <c r="C14159" s="5" t="s">
        <v>11</v>
      </c>
      <c r="D14159" s="5" t="s">
        <v>12</v>
      </c>
      <c r="E14159" s="5" t="s">
        <v>975</v>
      </c>
    </row>
    <row r="14160" spans="1:5" x14ac:dyDescent="0.25">
      <c r="A14160" s="5">
        <f>14152</f>
      </c>
      <c r="B14160" s="5" t="s">
        <v>13431</v>
      </c>
      <c r="C14160" s="5" t="s">
        <v>11</v>
      </c>
      <c r="D14160" s="5" t="s">
        <v>12</v>
      </c>
      <c r="E14160" s="5" t="s">
        <v>975</v>
      </c>
    </row>
    <row r="14161" spans="1:5" x14ac:dyDescent="0.25">
      <c r="A14161" s="5">
        <f>14153</f>
      </c>
      <c r="B14161" s="5" t="s">
        <v>13432</v>
      </c>
      <c r="C14161" s="5" t="s">
        <v>11</v>
      </c>
      <c r="D14161" s="5" t="s">
        <v>12</v>
      </c>
      <c r="E14161" s="5" t="s">
        <v>975</v>
      </c>
    </row>
    <row r="14162" spans="1:5" x14ac:dyDescent="0.25">
      <c r="A14162" s="5">
        <f>14154</f>
      </c>
      <c r="B14162" s="5" t="s">
        <v>13433</v>
      </c>
      <c r="C14162" s="5" t="s">
        <v>11</v>
      </c>
      <c r="D14162" s="5" t="s">
        <v>12</v>
      </c>
      <c r="E14162" s="5" t="s">
        <v>975</v>
      </c>
    </row>
    <row r="14163" spans="1:5" x14ac:dyDescent="0.25">
      <c r="A14163" s="5">
        <f>14155</f>
      </c>
      <c r="B14163" s="5" t="s">
        <v>13434</v>
      </c>
      <c r="C14163" s="5" t="s">
        <v>11</v>
      </c>
      <c r="D14163" s="5" t="s">
        <v>12</v>
      </c>
      <c r="E14163" s="5" t="s">
        <v>975</v>
      </c>
    </row>
    <row r="14164" spans="1:5" x14ac:dyDescent="0.25">
      <c r="A14164" s="5">
        <f>14156</f>
      </c>
      <c r="B14164" s="5" t="s">
        <v>13435</v>
      </c>
      <c r="C14164" s="5" t="s">
        <v>11</v>
      </c>
      <c r="D14164" s="5" t="s">
        <v>12</v>
      </c>
      <c r="E14164" s="5" t="s">
        <v>975</v>
      </c>
    </row>
    <row r="14165" spans="1:5" x14ac:dyDescent="0.25">
      <c r="A14165" s="5">
        <f>14157</f>
      </c>
      <c r="B14165" s="5" t="s">
        <v>13436</v>
      </c>
      <c r="C14165" s="5" t="s">
        <v>11</v>
      </c>
      <c r="D14165" s="5" t="s">
        <v>12</v>
      </c>
      <c r="E14165" s="5" t="s">
        <v>975</v>
      </c>
    </row>
    <row r="14166" spans="1:5" x14ac:dyDescent="0.25">
      <c r="A14166" s="5">
        <f>14158</f>
      </c>
      <c r="B14166" s="5" t="s">
        <v>13437</v>
      </c>
      <c r="C14166" s="5" t="s">
        <v>11</v>
      </c>
      <c r="D14166" s="5" t="s">
        <v>12</v>
      </c>
      <c r="E14166" s="5" t="s">
        <v>975</v>
      </c>
    </row>
    <row r="14167" spans="1:5" x14ac:dyDescent="0.25">
      <c r="A14167" s="5">
        <f>14159</f>
      </c>
      <c r="B14167" s="5" t="s">
        <v>13438</v>
      </c>
      <c r="C14167" s="5" t="s">
        <v>11</v>
      </c>
      <c r="D14167" s="5" t="s">
        <v>12</v>
      </c>
      <c r="E14167" s="5" t="s">
        <v>975</v>
      </c>
    </row>
    <row r="14168" spans="1:5" x14ac:dyDescent="0.25">
      <c r="A14168" s="5">
        <f>14160</f>
      </c>
      <c r="B14168" s="5" t="s">
        <v>13439</v>
      </c>
      <c r="C14168" s="5" t="s">
        <v>11</v>
      </c>
      <c r="D14168" s="5" t="s">
        <v>12</v>
      </c>
      <c r="E14168" s="5" t="s">
        <v>975</v>
      </c>
    </row>
    <row r="14169" spans="1:5" x14ac:dyDescent="0.25">
      <c r="A14169" s="5">
        <f>14161</f>
      </c>
      <c r="B14169" s="5" t="s">
        <v>13440</v>
      </c>
      <c r="C14169" s="5" t="s">
        <v>11</v>
      </c>
      <c r="D14169" s="5" t="s">
        <v>12</v>
      </c>
      <c r="E14169" s="5" t="s">
        <v>975</v>
      </c>
    </row>
    <row r="14170" spans="1:5" x14ac:dyDescent="0.25">
      <c r="A14170" s="5">
        <f>14162</f>
      </c>
      <c r="B14170" s="5" t="s">
        <v>13441</v>
      </c>
      <c r="C14170" s="5" t="s">
        <v>11</v>
      </c>
      <c r="D14170" s="5" t="s">
        <v>12</v>
      </c>
      <c r="E14170" s="5" t="s">
        <v>975</v>
      </c>
    </row>
    <row r="14171" spans="1:5" x14ac:dyDescent="0.25">
      <c r="A14171" s="5">
        <f>14163</f>
      </c>
      <c r="B14171" s="5" t="s">
        <v>13442</v>
      </c>
      <c r="C14171" s="5" t="s">
        <v>11</v>
      </c>
      <c r="D14171" s="5" t="s">
        <v>12</v>
      </c>
      <c r="E14171" s="5" t="s">
        <v>975</v>
      </c>
    </row>
    <row r="14172" spans="1:5" x14ac:dyDescent="0.25">
      <c r="A14172" s="5">
        <f>14164</f>
      </c>
      <c r="B14172" s="5" t="s">
        <v>13443</v>
      </c>
      <c r="C14172" s="5" t="s">
        <v>11</v>
      </c>
      <c r="D14172" s="5" t="s">
        <v>12</v>
      </c>
      <c r="E14172" s="5" t="s">
        <v>975</v>
      </c>
    </row>
    <row r="14173" spans="1:5" x14ac:dyDescent="0.25">
      <c r="A14173" s="5">
        <f>14165</f>
      </c>
      <c r="B14173" s="5" t="s">
        <v>13444</v>
      </c>
      <c r="C14173" s="5" t="s">
        <v>11</v>
      </c>
      <c r="D14173" s="5" t="s">
        <v>12</v>
      </c>
      <c r="E14173" s="5" t="s">
        <v>975</v>
      </c>
    </row>
    <row r="14174" spans="1:5" x14ac:dyDescent="0.25">
      <c r="A14174" s="5">
        <f>14166</f>
      </c>
      <c r="B14174" s="5" t="s">
        <v>13445</v>
      </c>
      <c r="C14174" s="5" t="s">
        <v>11</v>
      </c>
      <c r="D14174" s="5" t="s">
        <v>12</v>
      </c>
      <c r="E14174" s="5" t="s">
        <v>975</v>
      </c>
    </row>
    <row r="14175" spans="1:5" x14ac:dyDescent="0.25">
      <c r="A14175" s="5">
        <f>14167</f>
      </c>
      <c r="B14175" s="5" t="s">
        <v>13446</v>
      </c>
      <c r="C14175" s="5" t="s">
        <v>11</v>
      </c>
      <c r="D14175" s="5" t="s">
        <v>12</v>
      </c>
      <c r="E14175" s="5" t="s">
        <v>975</v>
      </c>
    </row>
    <row r="14176" spans="1:5" x14ac:dyDescent="0.25">
      <c r="A14176" s="5">
        <f>14168</f>
      </c>
      <c r="B14176" s="5" t="s">
        <v>13447</v>
      </c>
      <c r="C14176" s="5" t="s">
        <v>11</v>
      </c>
      <c r="D14176" s="5" t="s">
        <v>12</v>
      </c>
      <c r="E14176" s="5" t="s">
        <v>975</v>
      </c>
    </row>
    <row r="14177" spans="1:5" x14ac:dyDescent="0.25">
      <c r="A14177" s="5">
        <f>14169</f>
      </c>
      <c r="B14177" s="5" t="s">
        <v>13448</v>
      </c>
      <c r="C14177" s="5" t="s">
        <v>11</v>
      </c>
      <c r="D14177" s="5" t="s">
        <v>12</v>
      </c>
      <c r="E14177" s="5" t="s">
        <v>975</v>
      </c>
    </row>
    <row r="14178" spans="1:5" x14ac:dyDescent="0.25">
      <c r="A14178" s="5">
        <f>14170</f>
      </c>
      <c r="B14178" s="5" t="s">
        <v>13449</v>
      </c>
      <c r="C14178" s="5" t="s">
        <v>11</v>
      </c>
      <c r="D14178" s="5" t="s">
        <v>12</v>
      </c>
      <c r="E14178" s="5" t="s">
        <v>975</v>
      </c>
    </row>
    <row r="14179" spans="1:5" x14ac:dyDescent="0.25">
      <c r="A14179" s="5">
        <f>14171</f>
      </c>
      <c r="B14179" s="5" t="s">
        <v>13450</v>
      </c>
      <c r="C14179" s="5" t="s">
        <v>11</v>
      </c>
      <c r="D14179" s="5" t="s">
        <v>12</v>
      </c>
      <c r="E14179" s="5" t="s">
        <v>975</v>
      </c>
    </row>
    <row r="14180" spans="1:5" x14ac:dyDescent="0.25">
      <c r="A14180" s="5">
        <f>14172</f>
      </c>
      <c r="B14180" s="5" t="s">
        <v>13451</v>
      </c>
      <c r="C14180" s="5" t="s">
        <v>11</v>
      </c>
      <c r="D14180" s="5" t="s">
        <v>12</v>
      </c>
      <c r="E14180" s="5" t="s">
        <v>975</v>
      </c>
    </row>
    <row r="14181" spans="1:5" x14ac:dyDescent="0.25">
      <c r="A14181" s="5">
        <f>14173</f>
      </c>
      <c r="B14181" s="5" t="s">
        <v>13452</v>
      </c>
      <c r="C14181" s="5" t="s">
        <v>11</v>
      </c>
      <c r="D14181" s="5" t="s">
        <v>12</v>
      </c>
      <c r="E14181" s="5" t="s">
        <v>975</v>
      </c>
    </row>
    <row r="14182" spans="1:5" x14ac:dyDescent="0.25">
      <c r="A14182" s="5">
        <f>14174</f>
      </c>
      <c r="B14182" s="5" t="s">
        <v>13453</v>
      </c>
      <c r="C14182" s="5" t="s">
        <v>11</v>
      </c>
      <c r="D14182" s="5" t="s">
        <v>12</v>
      </c>
      <c r="E14182" s="5" t="s">
        <v>975</v>
      </c>
    </row>
    <row r="14183" spans="1:5" x14ac:dyDescent="0.25">
      <c r="A14183" s="5">
        <f>14175</f>
      </c>
      <c r="B14183" s="5" t="s">
        <v>13454</v>
      </c>
      <c r="C14183" s="5" t="s">
        <v>11</v>
      </c>
      <c r="D14183" s="5" t="s">
        <v>12</v>
      </c>
      <c r="E14183" s="5" t="s">
        <v>975</v>
      </c>
    </row>
    <row r="14184" spans="1:5" x14ac:dyDescent="0.25">
      <c r="A14184" s="5">
        <f>14176</f>
      </c>
      <c r="B14184" s="5" t="s">
        <v>13455</v>
      </c>
      <c r="C14184" s="5" t="s">
        <v>11</v>
      </c>
      <c r="D14184" s="5" t="s">
        <v>12</v>
      </c>
      <c r="E14184" s="5" t="s">
        <v>975</v>
      </c>
    </row>
    <row r="14185" spans="1:5" x14ac:dyDescent="0.25">
      <c r="A14185" s="5">
        <f>14177</f>
      </c>
      <c r="B14185" s="5" t="s">
        <v>13456</v>
      </c>
      <c r="C14185" s="5" t="s">
        <v>11</v>
      </c>
      <c r="D14185" s="5" t="s">
        <v>12</v>
      </c>
      <c r="E14185" s="5" t="s">
        <v>975</v>
      </c>
    </row>
    <row r="14186" spans="1:5" x14ac:dyDescent="0.25">
      <c r="A14186" s="5">
        <f>14178</f>
      </c>
      <c r="B14186" s="5" t="s">
        <v>13457</v>
      </c>
      <c r="C14186" s="5" t="s">
        <v>11</v>
      </c>
      <c r="D14186" s="5" t="s">
        <v>12</v>
      </c>
      <c r="E14186" s="5" t="s">
        <v>975</v>
      </c>
    </row>
    <row r="14187" spans="1:5" x14ac:dyDescent="0.25">
      <c r="A14187" s="5">
        <f>14179</f>
      </c>
      <c r="B14187" s="5" t="s">
        <v>13458</v>
      </c>
      <c r="C14187" s="5" t="s">
        <v>11</v>
      </c>
      <c r="D14187" s="5" t="s">
        <v>12</v>
      </c>
      <c r="E14187" s="5" t="s">
        <v>975</v>
      </c>
    </row>
    <row r="14188" spans="1:5" x14ac:dyDescent="0.25">
      <c r="A14188" s="5">
        <f>14180</f>
      </c>
      <c r="B14188" s="5" t="s">
        <v>13459</v>
      </c>
      <c r="C14188" s="5" t="s">
        <v>11</v>
      </c>
      <c r="D14188" s="5" t="s">
        <v>12</v>
      </c>
      <c r="E14188" s="5" t="s">
        <v>975</v>
      </c>
    </row>
    <row r="14189" spans="1:5" x14ac:dyDescent="0.25">
      <c r="A14189" s="5">
        <f>14181</f>
      </c>
      <c r="B14189" s="5" t="s">
        <v>13460</v>
      </c>
      <c r="C14189" s="5" t="s">
        <v>11</v>
      </c>
      <c r="D14189" s="5" t="s">
        <v>12</v>
      </c>
      <c r="E14189" s="5" t="s">
        <v>975</v>
      </c>
    </row>
    <row r="14190" spans="1:5" x14ac:dyDescent="0.25">
      <c r="A14190" s="5">
        <f>14182</f>
      </c>
      <c r="B14190" s="5" t="s">
        <v>13461</v>
      </c>
      <c r="C14190" s="5" t="s">
        <v>11</v>
      </c>
      <c r="D14190" s="5" t="s">
        <v>12</v>
      </c>
      <c r="E14190" s="5" t="s">
        <v>975</v>
      </c>
    </row>
    <row r="14191" spans="1:5" x14ac:dyDescent="0.25">
      <c r="A14191" s="5">
        <f>14183</f>
      </c>
      <c r="B14191" s="5" t="s">
        <v>13462</v>
      </c>
      <c r="C14191" s="5" t="s">
        <v>11</v>
      </c>
      <c r="D14191" s="5" t="s">
        <v>12</v>
      </c>
      <c r="E14191" s="5" t="s">
        <v>975</v>
      </c>
    </row>
    <row r="14192" spans="1:5" x14ac:dyDescent="0.25">
      <c r="A14192" s="5">
        <f>14184</f>
      </c>
      <c r="B14192" s="5" t="s">
        <v>13463</v>
      </c>
      <c r="C14192" s="5" t="s">
        <v>11</v>
      </c>
      <c r="D14192" s="5" t="s">
        <v>12</v>
      </c>
      <c r="E14192" s="5" t="s">
        <v>975</v>
      </c>
    </row>
    <row r="14193" spans="1:5" x14ac:dyDescent="0.25">
      <c r="A14193" s="5">
        <f>14185</f>
      </c>
      <c r="B14193" s="5" t="s">
        <v>13464</v>
      </c>
      <c r="C14193" s="5" t="s">
        <v>11</v>
      </c>
      <c r="D14193" s="5" t="s">
        <v>12</v>
      </c>
      <c r="E14193" s="5" t="s">
        <v>4048</v>
      </c>
    </row>
    <row r="14194" spans="1:5" x14ac:dyDescent="0.25">
      <c r="A14194" s="5">
        <f>14186</f>
      </c>
      <c r="B14194" s="5" t="s">
        <v>13465</v>
      </c>
      <c r="C14194" s="5" t="s">
        <v>11</v>
      </c>
      <c r="D14194" s="5" t="s">
        <v>12</v>
      </c>
      <c r="E14194" s="5" t="s">
        <v>4048</v>
      </c>
    </row>
    <row r="14195" spans="1:5" x14ac:dyDescent="0.25">
      <c r="A14195" s="5">
        <f>14187</f>
      </c>
      <c r="B14195" s="5" t="s">
        <v>13466</v>
      </c>
      <c r="C14195" s="5" t="s">
        <v>11</v>
      </c>
      <c r="D14195" s="5" t="s">
        <v>12</v>
      </c>
      <c r="E14195" s="5" t="s">
        <v>4048</v>
      </c>
    </row>
    <row r="14196" spans="1:5" x14ac:dyDescent="0.25">
      <c r="A14196" s="5">
        <f>14188</f>
      </c>
      <c r="B14196" s="5" t="s">
        <v>13467</v>
      </c>
      <c r="C14196" s="5" t="s">
        <v>11</v>
      </c>
      <c r="D14196" s="5" t="s">
        <v>12</v>
      </c>
      <c r="E14196" s="5" t="s">
        <v>4048</v>
      </c>
    </row>
    <row r="14197" spans="1:5" x14ac:dyDescent="0.25">
      <c r="A14197" s="5">
        <f>14189</f>
      </c>
      <c r="B14197" s="5" t="s">
        <v>13468</v>
      </c>
      <c r="C14197" s="5" t="s">
        <v>11</v>
      </c>
      <c r="D14197" s="5" t="s">
        <v>12</v>
      </c>
      <c r="E14197" s="5" t="s">
        <v>4048</v>
      </c>
    </row>
    <row r="14198" spans="1:5" x14ac:dyDescent="0.25">
      <c r="A14198" s="5">
        <f>14190</f>
      </c>
      <c r="B14198" s="5" t="s">
        <v>13469</v>
      </c>
      <c r="C14198" s="5" t="s">
        <v>11</v>
      </c>
      <c r="D14198" s="5" t="s">
        <v>12</v>
      </c>
      <c r="E14198" s="5" t="s">
        <v>4048</v>
      </c>
    </row>
    <row r="14199" spans="1:5" x14ac:dyDescent="0.25">
      <c r="A14199" s="5">
        <f>14191</f>
      </c>
      <c r="B14199" s="5" t="s">
        <v>13470</v>
      </c>
      <c r="C14199" s="5" t="s">
        <v>11</v>
      </c>
      <c r="D14199" s="5" t="s">
        <v>12</v>
      </c>
      <c r="E14199" s="5" t="s">
        <v>4048</v>
      </c>
    </row>
    <row r="14200" spans="1:5" x14ac:dyDescent="0.25">
      <c r="A14200" s="5">
        <f>14192</f>
      </c>
      <c r="B14200" s="5" t="s">
        <v>13471</v>
      </c>
      <c r="C14200" s="5" t="s">
        <v>11</v>
      </c>
      <c r="D14200" s="5" t="s">
        <v>12</v>
      </c>
      <c r="E14200" s="5" t="s">
        <v>4048</v>
      </c>
    </row>
    <row r="14201" spans="1:5" x14ac:dyDescent="0.25">
      <c r="A14201" s="5">
        <f>14193</f>
      </c>
      <c r="B14201" s="5" t="s">
        <v>13472</v>
      </c>
      <c r="C14201" s="5" t="s">
        <v>11</v>
      </c>
      <c r="D14201" s="5" t="s">
        <v>12</v>
      </c>
      <c r="E14201" s="5" t="s">
        <v>4048</v>
      </c>
    </row>
    <row r="14202" spans="1:5" x14ac:dyDescent="0.25">
      <c r="A14202" s="5">
        <f>14194</f>
      </c>
      <c r="B14202" s="5" t="s">
        <v>13473</v>
      </c>
      <c r="C14202" s="5" t="s">
        <v>11</v>
      </c>
      <c r="D14202" s="5" t="s">
        <v>12</v>
      </c>
      <c r="E14202" s="5" t="s">
        <v>4048</v>
      </c>
    </row>
    <row r="14203" spans="1:5" x14ac:dyDescent="0.25">
      <c r="A14203" s="5">
        <f>14195</f>
      </c>
      <c r="B14203" s="5" t="s">
        <v>13474</v>
      </c>
      <c r="C14203" s="5" t="s">
        <v>11</v>
      </c>
      <c r="D14203" s="5" t="s">
        <v>12</v>
      </c>
      <c r="E14203" s="5" t="s">
        <v>4048</v>
      </c>
    </row>
    <row r="14204" spans="1:5" x14ac:dyDescent="0.25">
      <c r="A14204" s="5">
        <f>14196</f>
      </c>
      <c r="B14204" s="5" t="s">
        <v>13475</v>
      </c>
      <c r="C14204" s="5" t="s">
        <v>11</v>
      </c>
      <c r="D14204" s="5" t="s">
        <v>12</v>
      </c>
      <c r="E14204" s="5" t="s">
        <v>4048</v>
      </c>
    </row>
    <row r="14205" spans="1:5" x14ac:dyDescent="0.25">
      <c r="A14205" s="5">
        <f>14197</f>
      </c>
      <c r="B14205" s="5" t="s">
        <v>13476</v>
      </c>
      <c r="C14205" s="5" t="s">
        <v>11</v>
      </c>
      <c r="D14205" s="5" t="s">
        <v>12</v>
      </c>
      <c r="E14205" s="5" t="s">
        <v>4048</v>
      </c>
    </row>
    <row r="14206" spans="1:5" x14ac:dyDescent="0.25">
      <c r="A14206" s="5">
        <f>14198</f>
      </c>
      <c r="B14206" s="5" t="s">
        <v>13477</v>
      </c>
      <c r="C14206" s="5" t="s">
        <v>11</v>
      </c>
      <c r="D14206" s="5" t="s">
        <v>12</v>
      </c>
      <c r="E14206" s="5" t="s">
        <v>4048</v>
      </c>
    </row>
    <row r="14207" spans="1:5" x14ac:dyDescent="0.25">
      <c r="A14207" s="5">
        <f>14199</f>
      </c>
      <c r="B14207" s="5" t="s">
        <v>13478</v>
      </c>
      <c r="C14207" s="5" t="s">
        <v>11</v>
      </c>
      <c r="D14207" s="5" t="s">
        <v>12</v>
      </c>
      <c r="E14207" s="5" t="s">
        <v>4048</v>
      </c>
    </row>
    <row r="14208" spans="1:5" x14ac:dyDescent="0.25">
      <c r="A14208" s="5">
        <f>14200</f>
      </c>
      <c r="B14208" s="5" t="s">
        <v>13479</v>
      </c>
      <c r="C14208" s="5" t="s">
        <v>11</v>
      </c>
      <c r="D14208" s="5" t="s">
        <v>12</v>
      </c>
      <c r="E14208" s="5" t="s">
        <v>4048</v>
      </c>
    </row>
    <row r="14209" spans="1:5" x14ac:dyDescent="0.25">
      <c r="A14209" s="5">
        <f>14201</f>
      </c>
      <c r="B14209" s="5" t="s">
        <v>13480</v>
      </c>
      <c r="C14209" s="5" t="s">
        <v>11</v>
      </c>
      <c r="D14209" s="5" t="s">
        <v>12</v>
      </c>
      <c r="E14209" s="5" t="s">
        <v>4048</v>
      </c>
    </row>
    <row r="14210" spans="1:5" x14ac:dyDescent="0.25">
      <c r="A14210" s="5">
        <f>14202</f>
      </c>
      <c r="B14210" s="5" t="s">
        <v>13481</v>
      </c>
      <c r="C14210" s="5" t="s">
        <v>11</v>
      </c>
      <c r="D14210" s="5" t="s">
        <v>12</v>
      </c>
      <c r="E14210" s="5" t="s">
        <v>4048</v>
      </c>
    </row>
    <row r="14211" spans="1:5" x14ac:dyDescent="0.25">
      <c r="A14211" s="5">
        <f>14203</f>
      </c>
      <c r="B14211" s="5" t="s">
        <v>13482</v>
      </c>
      <c r="C14211" s="5" t="s">
        <v>11</v>
      </c>
      <c r="D14211" s="5" t="s">
        <v>12</v>
      </c>
      <c r="E14211" s="5" t="s">
        <v>4048</v>
      </c>
    </row>
    <row r="14212" spans="1:5" x14ac:dyDescent="0.25">
      <c r="A14212" s="5">
        <f>14204</f>
      </c>
      <c r="B14212" s="5" t="s">
        <v>13483</v>
      </c>
      <c r="C14212" s="5" t="s">
        <v>11</v>
      </c>
      <c r="D14212" s="5" t="s">
        <v>12</v>
      </c>
      <c r="E14212" s="5" t="s">
        <v>4048</v>
      </c>
    </row>
    <row r="14213" spans="1:5" x14ac:dyDescent="0.25">
      <c r="A14213" s="5">
        <f>14205</f>
      </c>
      <c r="B14213" s="5" t="s">
        <v>13484</v>
      </c>
      <c r="C14213" s="5" t="s">
        <v>11</v>
      </c>
      <c r="D14213" s="5" t="s">
        <v>12</v>
      </c>
      <c r="E14213" s="5" t="s">
        <v>4048</v>
      </c>
    </row>
    <row r="14214" spans="1:5" x14ac:dyDescent="0.25">
      <c r="A14214" s="5">
        <f>14206</f>
      </c>
      <c r="B14214" s="5" t="s">
        <v>13485</v>
      </c>
      <c r="C14214" s="5" t="s">
        <v>11</v>
      </c>
      <c r="D14214" s="5" t="s">
        <v>12</v>
      </c>
      <c r="E14214" s="5" t="s">
        <v>4048</v>
      </c>
    </row>
    <row r="14215" spans="1:5" x14ac:dyDescent="0.25">
      <c r="A14215" s="5">
        <f>14207</f>
      </c>
      <c r="B14215" s="5" t="s">
        <v>13486</v>
      </c>
      <c r="C14215" s="5" t="s">
        <v>11</v>
      </c>
      <c r="D14215" s="5" t="s">
        <v>12</v>
      </c>
      <c r="E14215" s="5" t="s">
        <v>4048</v>
      </c>
    </row>
    <row r="14216" spans="1:5" x14ac:dyDescent="0.25">
      <c r="A14216" s="5">
        <f>14208</f>
      </c>
      <c r="B14216" s="5" t="s">
        <v>13487</v>
      </c>
      <c r="C14216" s="5" t="s">
        <v>11</v>
      </c>
      <c r="D14216" s="5" t="s">
        <v>12</v>
      </c>
      <c r="E14216" s="5" t="s">
        <v>4048</v>
      </c>
    </row>
    <row r="14217" spans="1:5" x14ac:dyDescent="0.25">
      <c r="A14217" s="5">
        <f>14209</f>
      </c>
      <c r="B14217" s="5" t="s">
        <v>13488</v>
      </c>
      <c r="C14217" s="5" t="s">
        <v>11</v>
      </c>
      <c r="D14217" s="5" t="s">
        <v>12</v>
      </c>
      <c r="E14217" s="5" t="s">
        <v>4048</v>
      </c>
    </row>
    <row r="14218" spans="1:5" x14ac:dyDescent="0.25">
      <c r="A14218" s="5">
        <f>14210</f>
      </c>
      <c r="B14218" s="5" t="s">
        <v>13489</v>
      </c>
      <c r="C14218" s="5" t="s">
        <v>11</v>
      </c>
      <c r="D14218" s="5" t="s">
        <v>12</v>
      </c>
      <c r="E14218" s="5" t="s">
        <v>4048</v>
      </c>
    </row>
    <row r="14219" spans="1:5" x14ac:dyDescent="0.25">
      <c r="A14219" s="5">
        <f>14211</f>
      </c>
      <c r="B14219" s="5" t="s">
        <v>13490</v>
      </c>
      <c r="C14219" s="5" t="s">
        <v>11</v>
      </c>
      <c r="D14219" s="5" t="s">
        <v>12</v>
      </c>
      <c r="E14219" s="5" t="s">
        <v>4048</v>
      </c>
    </row>
    <row r="14220" spans="1:5" x14ac:dyDescent="0.25">
      <c r="A14220" s="5">
        <f>14212</f>
      </c>
      <c r="B14220" s="5" t="s">
        <v>13491</v>
      </c>
      <c r="C14220" s="5" t="s">
        <v>11</v>
      </c>
      <c r="D14220" s="5" t="s">
        <v>12</v>
      </c>
      <c r="E14220" s="5" t="s">
        <v>4048</v>
      </c>
    </row>
    <row r="14221" spans="1:5" x14ac:dyDescent="0.25">
      <c r="A14221" s="5">
        <f>14213</f>
      </c>
      <c r="B14221" s="5" t="s">
        <v>13492</v>
      </c>
      <c r="C14221" s="5" t="s">
        <v>11</v>
      </c>
      <c r="D14221" s="5" t="s">
        <v>12</v>
      </c>
      <c r="E14221" s="5" t="s">
        <v>4048</v>
      </c>
    </row>
    <row r="14222" spans="1:5" x14ac:dyDescent="0.25">
      <c r="A14222" s="5">
        <f>14214</f>
      </c>
      <c r="B14222" s="5" t="s">
        <v>13493</v>
      </c>
      <c r="C14222" s="5" t="s">
        <v>11</v>
      </c>
      <c r="D14222" s="5" t="s">
        <v>12</v>
      </c>
      <c r="E14222" s="5" t="s">
        <v>4048</v>
      </c>
    </row>
    <row r="14223" spans="1:5" x14ac:dyDescent="0.25">
      <c r="A14223" s="5">
        <f>14215</f>
      </c>
      <c r="B14223" s="5" t="s">
        <v>13494</v>
      </c>
      <c r="C14223" s="5" t="s">
        <v>11</v>
      </c>
      <c r="D14223" s="5" t="s">
        <v>12</v>
      </c>
      <c r="E14223" s="5" t="s">
        <v>4048</v>
      </c>
    </row>
    <row r="14224" spans="1:5" x14ac:dyDescent="0.25">
      <c r="A14224" s="5">
        <f>14216</f>
      </c>
      <c r="B14224" s="5" t="s">
        <v>13495</v>
      </c>
      <c r="C14224" s="5" t="s">
        <v>11</v>
      </c>
      <c r="D14224" s="5" t="s">
        <v>12</v>
      </c>
      <c r="E14224" s="5" t="s">
        <v>4048</v>
      </c>
    </row>
    <row r="14225" spans="1:5" x14ac:dyDescent="0.25">
      <c r="A14225" s="5">
        <f>14217</f>
      </c>
      <c r="B14225" s="5" t="s">
        <v>13496</v>
      </c>
      <c r="C14225" s="5" t="s">
        <v>11</v>
      </c>
      <c r="D14225" s="5" t="s">
        <v>12</v>
      </c>
      <c r="E14225" s="5" t="s">
        <v>4048</v>
      </c>
    </row>
    <row r="14226" spans="1:5" x14ac:dyDescent="0.25">
      <c r="A14226" s="5">
        <f>14218</f>
      </c>
      <c r="B14226" s="5" t="s">
        <v>13497</v>
      </c>
      <c r="C14226" s="5" t="s">
        <v>11</v>
      </c>
      <c r="D14226" s="5" t="s">
        <v>12</v>
      </c>
      <c r="E14226" s="5" t="s">
        <v>4048</v>
      </c>
    </row>
    <row r="14227" spans="1:5" x14ac:dyDescent="0.25">
      <c r="A14227" s="5">
        <f>14219</f>
      </c>
      <c r="B14227" s="5" t="s">
        <v>13498</v>
      </c>
      <c r="C14227" s="5" t="s">
        <v>11</v>
      </c>
      <c r="D14227" s="5" t="s">
        <v>12</v>
      </c>
      <c r="E14227" s="5" t="s">
        <v>4048</v>
      </c>
    </row>
    <row r="14228" spans="1:5" x14ac:dyDescent="0.25">
      <c r="A14228" s="5">
        <f>14220</f>
      </c>
      <c r="B14228" s="5" t="s">
        <v>13499</v>
      </c>
      <c r="C14228" s="5" t="s">
        <v>11</v>
      </c>
      <c r="D14228" s="5" t="s">
        <v>12</v>
      </c>
      <c r="E14228" s="5" t="s">
        <v>4048</v>
      </c>
    </row>
    <row r="14229" spans="1:5" x14ac:dyDescent="0.25">
      <c r="A14229" s="5">
        <f>14221</f>
      </c>
      <c r="B14229" s="5" t="s">
        <v>13500</v>
      </c>
      <c r="C14229" s="5" t="s">
        <v>11</v>
      </c>
      <c r="D14229" s="5" t="s">
        <v>12</v>
      </c>
      <c r="E14229" s="5" t="s">
        <v>4048</v>
      </c>
    </row>
    <row r="14230" spans="1:5" x14ac:dyDescent="0.25">
      <c r="A14230" s="5">
        <f>14222</f>
      </c>
      <c r="B14230" s="5" t="s">
        <v>13501</v>
      </c>
      <c r="C14230" s="5" t="s">
        <v>11</v>
      </c>
      <c r="D14230" s="5" t="s">
        <v>12</v>
      </c>
      <c r="E14230" s="5" t="s">
        <v>4048</v>
      </c>
    </row>
    <row r="14231" spans="1:5" x14ac:dyDescent="0.25">
      <c r="A14231" s="5">
        <f>14223</f>
      </c>
      <c r="B14231" s="5" t="s">
        <v>13502</v>
      </c>
      <c r="C14231" s="5" t="s">
        <v>11</v>
      </c>
      <c r="D14231" s="5" t="s">
        <v>12</v>
      </c>
      <c r="E14231" s="5" t="s">
        <v>4048</v>
      </c>
    </row>
    <row r="14232" spans="1:5" x14ac:dyDescent="0.25">
      <c r="A14232" s="5">
        <f>14224</f>
      </c>
      <c r="B14232" s="5" t="s">
        <v>13503</v>
      </c>
      <c r="C14232" s="5" t="s">
        <v>11</v>
      </c>
      <c r="D14232" s="5" t="s">
        <v>12</v>
      </c>
      <c r="E14232" s="5" t="s">
        <v>4048</v>
      </c>
    </row>
    <row r="14233" spans="1:5" x14ac:dyDescent="0.25">
      <c r="A14233" s="5">
        <f>14225</f>
      </c>
      <c r="B14233" s="5" t="s">
        <v>13504</v>
      </c>
      <c r="C14233" s="5" t="s">
        <v>11</v>
      </c>
      <c r="D14233" s="5" t="s">
        <v>12</v>
      </c>
      <c r="E14233" s="5" t="s">
        <v>4048</v>
      </c>
    </row>
    <row r="14234" spans="1:5" x14ac:dyDescent="0.25">
      <c r="A14234" s="5">
        <f>14226</f>
      </c>
      <c r="B14234" s="5" t="s">
        <v>13505</v>
      </c>
      <c r="C14234" s="5" t="s">
        <v>11</v>
      </c>
      <c r="D14234" s="5" t="s">
        <v>12</v>
      </c>
      <c r="E14234" s="5" t="s">
        <v>4048</v>
      </c>
    </row>
    <row r="14235" spans="1:5" x14ac:dyDescent="0.25">
      <c r="A14235" s="5">
        <f>14227</f>
      </c>
      <c r="B14235" s="5" t="s">
        <v>13506</v>
      </c>
      <c r="C14235" s="5" t="s">
        <v>11</v>
      </c>
      <c r="D14235" s="5" t="s">
        <v>12</v>
      </c>
      <c r="E14235" s="5" t="s">
        <v>4048</v>
      </c>
    </row>
    <row r="14236" spans="1:5" x14ac:dyDescent="0.25">
      <c r="A14236" s="5">
        <f>14228</f>
      </c>
      <c r="B14236" s="5" t="s">
        <v>13507</v>
      </c>
      <c r="C14236" s="5" t="s">
        <v>11</v>
      </c>
      <c r="D14236" s="5" t="s">
        <v>12</v>
      </c>
      <c r="E14236" s="5" t="s">
        <v>4048</v>
      </c>
    </row>
    <row r="14237" spans="1:5" x14ac:dyDescent="0.25">
      <c r="A14237" s="5">
        <f>14229</f>
      </c>
      <c r="B14237" s="5" t="s">
        <v>13508</v>
      </c>
      <c r="C14237" s="5" t="s">
        <v>11</v>
      </c>
      <c r="D14237" s="5" t="s">
        <v>12</v>
      </c>
      <c r="E14237" s="5" t="s">
        <v>4048</v>
      </c>
    </row>
    <row r="14238" spans="1:5" x14ac:dyDescent="0.25">
      <c r="A14238" s="5">
        <f>14230</f>
      </c>
      <c r="B14238" s="5" t="s">
        <v>13509</v>
      </c>
      <c r="C14238" s="5" t="s">
        <v>11</v>
      </c>
      <c r="D14238" s="5" t="s">
        <v>12</v>
      </c>
      <c r="E14238" s="5" t="s">
        <v>4048</v>
      </c>
    </row>
    <row r="14239" spans="1:5" x14ac:dyDescent="0.25">
      <c r="A14239" s="5">
        <f>14231</f>
      </c>
      <c r="B14239" s="5" t="s">
        <v>13510</v>
      </c>
      <c r="C14239" s="5" t="s">
        <v>11</v>
      </c>
      <c r="D14239" s="5" t="s">
        <v>12</v>
      </c>
      <c r="E14239" s="5" t="s">
        <v>4048</v>
      </c>
    </row>
    <row r="14240" spans="1:5" x14ac:dyDescent="0.25">
      <c r="A14240" s="5">
        <f>14232</f>
      </c>
      <c r="B14240" s="5" t="s">
        <v>13511</v>
      </c>
      <c r="C14240" s="5" t="s">
        <v>11</v>
      </c>
      <c r="D14240" s="5" t="s">
        <v>12</v>
      </c>
      <c r="E14240" s="5" t="s">
        <v>4048</v>
      </c>
    </row>
    <row r="14241" spans="1:5" x14ac:dyDescent="0.25">
      <c r="A14241" s="5">
        <f>14233</f>
      </c>
      <c r="B14241" s="5" t="s">
        <v>13512</v>
      </c>
      <c r="C14241" s="5" t="s">
        <v>11</v>
      </c>
      <c r="D14241" s="5" t="s">
        <v>12</v>
      </c>
      <c r="E14241" s="5" t="s">
        <v>4048</v>
      </c>
    </row>
    <row r="14242" spans="1:5" x14ac:dyDescent="0.25">
      <c r="A14242" s="5">
        <f>14234</f>
      </c>
      <c r="B14242" s="5" t="s">
        <v>13513</v>
      </c>
      <c r="C14242" s="5" t="s">
        <v>11</v>
      </c>
      <c r="D14242" s="5" t="s">
        <v>12</v>
      </c>
      <c r="E14242" s="5" t="s">
        <v>4048</v>
      </c>
    </row>
    <row r="14243" spans="1:5" x14ac:dyDescent="0.25">
      <c r="A14243" s="5">
        <f>14235</f>
      </c>
      <c r="B14243" s="5" t="s">
        <v>13514</v>
      </c>
      <c r="C14243" s="5" t="s">
        <v>11</v>
      </c>
      <c r="D14243" s="5" t="s">
        <v>12</v>
      </c>
      <c r="E14243" s="5" t="s">
        <v>4048</v>
      </c>
    </row>
    <row r="14244" spans="1:5" x14ac:dyDescent="0.25">
      <c r="A14244" s="5">
        <f>14236</f>
      </c>
      <c r="B14244" s="5" t="s">
        <v>13515</v>
      </c>
      <c r="C14244" s="5" t="s">
        <v>11</v>
      </c>
      <c r="D14244" s="5" t="s">
        <v>12</v>
      </c>
      <c r="E14244" s="5" t="s">
        <v>4048</v>
      </c>
    </row>
    <row r="14245" spans="1:5" x14ac:dyDescent="0.25">
      <c r="A14245" s="5">
        <f>14237</f>
      </c>
      <c r="B14245" s="5" t="s">
        <v>13516</v>
      </c>
      <c r="C14245" s="5" t="s">
        <v>11</v>
      </c>
      <c r="D14245" s="5" t="s">
        <v>12</v>
      </c>
      <c r="E14245" s="5" t="s">
        <v>4048</v>
      </c>
    </row>
    <row r="14246" spans="1:5" x14ac:dyDescent="0.25">
      <c r="A14246" s="5">
        <f>14238</f>
      </c>
      <c r="B14246" s="5" t="s">
        <v>13517</v>
      </c>
      <c r="C14246" s="5" t="s">
        <v>11</v>
      </c>
      <c r="D14246" s="5" t="s">
        <v>12</v>
      </c>
      <c r="E14246" s="5" t="s">
        <v>4048</v>
      </c>
    </row>
    <row r="14247" spans="1:5" x14ac:dyDescent="0.25">
      <c r="A14247" s="5">
        <f>14239</f>
      </c>
      <c r="B14247" s="5" t="s">
        <v>13518</v>
      </c>
      <c r="C14247" s="5" t="s">
        <v>11</v>
      </c>
      <c r="D14247" s="5" t="s">
        <v>12</v>
      </c>
      <c r="E14247" s="5" t="s">
        <v>4048</v>
      </c>
    </row>
    <row r="14248" spans="1:5" x14ac:dyDescent="0.25">
      <c r="A14248" s="5">
        <f>14240</f>
      </c>
      <c r="B14248" s="5" t="s">
        <v>13519</v>
      </c>
      <c r="C14248" s="5" t="s">
        <v>11</v>
      </c>
      <c r="D14248" s="5" t="s">
        <v>12</v>
      </c>
      <c r="E14248" s="5" t="s">
        <v>4048</v>
      </c>
    </row>
    <row r="14249" spans="1:5" x14ac:dyDescent="0.25">
      <c r="A14249" s="5">
        <f>14241</f>
      </c>
      <c r="B14249" s="5" t="s">
        <v>13520</v>
      </c>
      <c r="C14249" s="5" t="s">
        <v>11</v>
      </c>
      <c r="D14249" s="5" t="s">
        <v>12</v>
      </c>
      <c r="E14249" s="5" t="s">
        <v>4048</v>
      </c>
    </row>
    <row r="14250" spans="1:5" x14ac:dyDescent="0.25">
      <c r="A14250" s="5">
        <f>14242</f>
      </c>
      <c r="B14250" s="5" t="s">
        <v>13521</v>
      </c>
      <c r="C14250" s="5" t="s">
        <v>11</v>
      </c>
      <c r="D14250" s="5" t="s">
        <v>12</v>
      </c>
      <c r="E14250" s="5" t="s">
        <v>4048</v>
      </c>
    </row>
    <row r="14251" spans="1:5" x14ac:dyDescent="0.25">
      <c r="A14251" s="5">
        <f>14243</f>
      </c>
      <c r="B14251" s="5" t="s">
        <v>13522</v>
      </c>
      <c r="C14251" s="5" t="s">
        <v>11</v>
      </c>
      <c r="D14251" s="5" t="s">
        <v>12</v>
      </c>
      <c r="E14251" s="5" t="s">
        <v>4048</v>
      </c>
    </row>
    <row r="14252" spans="1:5" x14ac:dyDescent="0.25">
      <c r="A14252" s="5">
        <f>14244</f>
      </c>
      <c r="B14252" s="5" t="s">
        <v>13523</v>
      </c>
      <c r="C14252" s="5" t="s">
        <v>11</v>
      </c>
      <c r="D14252" s="5" t="s">
        <v>12</v>
      </c>
      <c r="E14252" s="5" t="s">
        <v>4048</v>
      </c>
    </row>
    <row r="14253" spans="1:5" x14ac:dyDescent="0.25">
      <c r="A14253" s="5">
        <f>14245</f>
      </c>
      <c r="B14253" s="5" t="s">
        <v>13524</v>
      </c>
      <c r="C14253" s="5" t="s">
        <v>11</v>
      </c>
      <c r="D14253" s="5" t="s">
        <v>12</v>
      </c>
      <c r="E14253" s="5" t="s">
        <v>4048</v>
      </c>
    </row>
    <row r="14254" spans="1:5" x14ac:dyDescent="0.25">
      <c r="A14254" s="5">
        <f>14246</f>
      </c>
      <c r="B14254" s="5" t="s">
        <v>13525</v>
      </c>
      <c r="C14254" s="5" t="s">
        <v>11</v>
      </c>
      <c r="D14254" s="5" t="s">
        <v>12</v>
      </c>
      <c r="E14254" s="5" t="s">
        <v>4048</v>
      </c>
    </row>
    <row r="14255" spans="1:5" x14ac:dyDescent="0.25">
      <c r="A14255" s="5">
        <f>14247</f>
      </c>
      <c r="B14255" s="5" t="s">
        <v>13526</v>
      </c>
      <c r="C14255" s="5" t="s">
        <v>11</v>
      </c>
      <c r="D14255" s="5" t="s">
        <v>12</v>
      </c>
      <c r="E14255" s="5" t="s">
        <v>4048</v>
      </c>
    </row>
    <row r="14256" spans="1:5" x14ac:dyDescent="0.25">
      <c r="A14256" s="5">
        <f>14248</f>
      </c>
      <c r="B14256" s="5" t="s">
        <v>13527</v>
      </c>
      <c r="C14256" s="5" t="s">
        <v>11</v>
      </c>
      <c r="D14256" s="5" t="s">
        <v>12</v>
      </c>
      <c r="E14256" s="5" t="s">
        <v>4048</v>
      </c>
    </row>
    <row r="14257" spans="1:5" x14ac:dyDescent="0.25">
      <c r="A14257" s="5">
        <f>14249</f>
      </c>
      <c r="B14257" s="5" t="s">
        <v>13528</v>
      </c>
      <c r="C14257" s="5" t="s">
        <v>11</v>
      </c>
      <c r="D14257" s="5" t="s">
        <v>12</v>
      </c>
      <c r="E14257" s="5" t="s">
        <v>4048</v>
      </c>
    </row>
    <row r="14258" spans="1:5" x14ac:dyDescent="0.25">
      <c r="A14258" s="5">
        <f>14250</f>
      </c>
      <c r="B14258" s="5" t="s">
        <v>13529</v>
      </c>
      <c r="C14258" s="5" t="s">
        <v>11</v>
      </c>
      <c r="D14258" s="5" t="s">
        <v>12</v>
      </c>
      <c r="E14258" s="5" t="s">
        <v>4048</v>
      </c>
    </row>
    <row r="14259" spans="1:5" x14ac:dyDescent="0.25">
      <c r="A14259" s="5">
        <f>14251</f>
      </c>
      <c r="B14259" s="5" t="s">
        <v>13530</v>
      </c>
      <c r="C14259" s="5" t="s">
        <v>11</v>
      </c>
      <c r="D14259" s="5" t="s">
        <v>12</v>
      </c>
      <c r="E14259" s="5" t="s">
        <v>4048</v>
      </c>
    </row>
    <row r="14260" spans="1:5" x14ac:dyDescent="0.25">
      <c r="A14260" s="5">
        <f>14252</f>
      </c>
      <c r="B14260" s="5" t="s">
        <v>13531</v>
      </c>
      <c r="C14260" s="5" t="s">
        <v>11</v>
      </c>
      <c r="D14260" s="5" t="s">
        <v>12</v>
      </c>
      <c r="E14260" s="5" t="s">
        <v>4048</v>
      </c>
    </row>
    <row r="14261" spans="1:5" x14ac:dyDescent="0.25">
      <c r="A14261" s="5">
        <f>14253</f>
      </c>
      <c r="B14261" s="5" t="s">
        <v>13532</v>
      </c>
      <c r="C14261" s="5" t="s">
        <v>11</v>
      </c>
      <c r="D14261" s="5" t="s">
        <v>12</v>
      </c>
      <c r="E14261" s="5" t="s">
        <v>4048</v>
      </c>
    </row>
    <row r="14262" spans="1:5" x14ac:dyDescent="0.25">
      <c r="A14262" s="5">
        <f>14254</f>
      </c>
      <c r="B14262" s="5" t="s">
        <v>13533</v>
      </c>
      <c r="C14262" s="5" t="s">
        <v>11</v>
      </c>
      <c r="D14262" s="5" t="s">
        <v>12</v>
      </c>
      <c r="E14262" s="5" t="s">
        <v>4048</v>
      </c>
    </row>
    <row r="14263" spans="1:5" x14ac:dyDescent="0.25">
      <c r="A14263" s="5">
        <f>14255</f>
      </c>
      <c r="B14263" s="5" t="s">
        <v>13534</v>
      </c>
      <c r="C14263" s="5" t="s">
        <v>11</v>
      </c>
      <c r="D14263" s="5" t="s">
        <v>12</v>
      </c>
      <c r="E14263" s="5" t="s">
        <v>4048</v>
      </c>
    </row>
    <row r="14264" spans="1:5" x14ac:dyDescent="0.25">
      <c r="A14264" s="5">
        <f>14256</f>
      </c>
      <c r="B14264" s="5" t="s">
        <v>13535</v>
      </c>
      <c r="C14264" s="5" t="s">
        <v>11</v>
      </c>
      <c r="D14264" s="5" t="s">
        <v>12</v>
      </c>
      <c r="E14264" s="5" t="s">
        <v>4048</v>
      </c>
    </row>
    <row r="14265" spans="1:5" x14ac:dyDescent="0.25">
      <c r="A14265" s="5">
        <f>14257</f>
      </c>
      <c r="B14265" s="5" t="s">
        <v>13536</v>
      </c>
      <c r="C14265" s="5" t="s">
        <v>11</v>
      </c>
      <c r="D14265" s="5" t="s">
        <v>12</v>
      </c>
      <c r="E14265" s="5" t="s">
        <v>4048</v>
      </c>
    </row>
    <row r="14266" spans="1:5" x14ac:dyDescent="0.25">
      <c r="A14266" s="5">
        <f>14258</f>
      </c>
      <c r="B14266" s="5" t="s">
        <v>13537</v>
      </c>
      <c r="C14266" s="5" t="s">
        <v>11</v>
      </c>
      <c r="D14266" s="5" t="s">
        <v>12</v>
      </c>
      <c r="E14266" s="5" t="s">
        <v>4048</v>
      </c>
    </row>
    <row r="14267" spans="1:5" x14ac:dyDescent="0.25">
      <c r="A14267" s="5">
        <f>14259</f>
      </c>
      <c r="B14267" s="5" t="s">
        <v>13538</v>
      </c>
      <c r="C14267" s="5" t="s">
        <v>11</v>
      </c>
      <c r="D14267" s="5" t="s">
        <v>12</v>
      </c>
      <c r="E14267" s="5" t="s">
        <v>4048</v>
      </c>
    </row>
    <row r="14268" spans="1:5" x14ac:dyDescent="0.25">
      <c r="A14268" s="5">
        <f>14260</f>
      </c>
      <c r="B14268" s="5" t="s">
        <v>13539</v>
      </c>
      <c r="C14268" s="5" t="s">
        <v>11</v>
      </c>
      <c r="D14268" s="5" t="s">
        <v>12</v>
      </c>
      <c r="E14268" s="5" t="s">
        <v>4048</v>
      </c>
    </row>
    <row r="14269" spans="1:5" x14ac:dyDescent="0.25">
      <c r="A14269" s="5">
        <f>14261</f>
      </c>
      <c r="B14269" s="5" t="s">
        <v>13540</v>
      </c>
      <c r="C14269" s="5" t="s">
        <v>11</v>
      </c>
      <c r="D14269" s="5" t="s">
        <v>12</v>
      </c>
      <c r="E14269" s="5" t="s">
        <v>4048</v>
      </c>
    </row>
    <row r="14270" spans="1:5" x14ac:dyDescent="0.25">
      <c r="A14270" s="5">
        <f>14262</f>
      </c>
      <c r="B14270" s="5" t="s">
        <v>13541</v>
      </c>
      <c r="C14270" s="5" t="s">
        <v>11</v>
      </c>
      <c r="D14270" s="5" t="s">
        <v>12</v>
      </c>
      <c r="E14270" s="5" t="s">
        <v>4048</v>
      </c>
    </row>
    <row r="14271" spans="1:5" x14ac:dyDescent="0.25">
      <c r="A14271" s="5">
        <f>14263</f>
      </c>
      <c r="B14271" s="5" t="s">
        <v>13542</v>
      </c>
      <c r="C14271" s="5" t="s">
        <v>11</v>
      </c>
      <c r="D14271" s="5" t="s">
        <v>12</v>
      </c>
      <c r="E14271" s="5" t="s">
        <v>4048</v>
      </c>
    </row>
    <row r="14272" spans="1:5" x14ac:dyDescent="0.25">
      <c r="A14272" s="5">
        <f>14264</f>
      </c>
      <c r="B14272" s="5" t="s">
        <v>13543</v>
      </c>
      <c r="C14272" s="5" t="s">
        <v>11</v>
      </c>
      <c r="D14272" s="5" t="s">
        <v>12</v>
      </c>
      <c r="E14272" s="5" t="s">
        <v>4048</v>
      </c>
    </row>
    <row r="14273" spans="1:5" x14ac:dyDescent="0.25">
      <c r="A14273" s="5">
        <f>14265</f>
      </c>
      <c r="B14273" s="5" t="s">
        <v>13544</v>
      </c>
      <c r="C14273" s="5" t="s">
        <v>11</v>
      </c>
      <c r="D14273" s="5" t="s">
        <v>12</v>
      </c>
      <c r="E14273" s="5" t="s">
        <v>4048</v>
      </c>
    </row>
    <row r="14274" spans="1:5" x14ac:dyDescent="0.25">
      <c r="A14274" s="5">
        <f>14266</f>
      </c>
      <c r="B14274" s="5" t="s">
        <v>13545</v>
      </c>
      <c r="C14274" s="5" t="s">
        <v>11</v>
      </c>
      <c r="D14274" s="5" t="s">
        <v>12</v>
      </c>
      <c r="E14274" s="5" t="s">
        <v>4048</v>
      </c>
    </row>
    <row r="14275" spans="1:5" x14ac:dyDescent="0.25">
      <c r="A14275" s="5">
        <f>14267</f>
      </c>
      <c r="B14275" s="5" t="s">
        <v>13546</v>
      </c>
      <c r="C14275" s="5" t="s">
        <v>11</v>
      </c>
      <c r="D14275" s="5" t="s">
        <v>12</v>
      </c>
      <c r="E14275" s="5" t="s">
        <v>4048</v>
      </c>
    </row>
    <row r="14276" spans="1:5" x14ac:dyDescent="0.25">
      <c r="A14276" s="5">
        <f>14268</f>
      </c>
      <c r="B14276" s="5" t="s">
        <v>13547</v>
      </c>
      <c r="C14276" s="5" t="s">
        <v>11</v>
      </c>
      <c r="D14276" s="5" t="s">
        <v>12</v>
      </c>
      <c r="E14276" s="5" t="s">
        <v>4048</v>
      </c>
    </row>
    <row r="14277" spans="1:5" x14ac:dyDescent="0.25">
      <c r="A14277" s="5">
        <f>14269</f>
      </c>
      <c r="B14277" s="5" t="s">
        <v>13548</v>
      </c>
      <c r="C14277" s="5" t="s">
        <v>11</v>
      </c>
      <c r="D14277" s="5" t="s">
        <v>12</v>
      </c>
      <c r="E14277" s="5" t="s">
        <v>3490</v>
      </c>
    </row>
    <row r="14278" spans="1:5" x14ac:dyDescent="0.25">
      <c r="A14278" s="5">
        <f>14270</f>
      </c>
      <c r="B14278" s="5" t="s">
        <v>13549</v>
      </c>
      <c r="C14278" s="5" t="s">
        <v>11</v>
      </c>
      <c r="D14278" s="5" t="s">
        <v>12</v>
      </c>
      <c r="E14278" s="5" t="s">
        <v>3490</v>
      </c>
    </row>
    <row r="14279" spans="1:5" x14ac:dyDescent="0.25">
      <c r="A14279" s="5">
        <f>14271</f>
      </c>
      <c r="B14279" s="5" t="s">
        <v>13550</v>
      </c>
      <c r="C14279" s="5" t="s">
        <v>11</v>
      </c>
      <c r="D14279" s="5" t="s">
        <v>12</v>
      </c>
      <c r="E14279" s="5" t="s">
        <v>3490</v>
      </c>
    </row>
    <row r="14280" spans="1:5" x14ac:dyDescent="0.25">
      <c r="A14280" s="5">
        <f>14272</f>
      </c>
      <c r="B14280" s="5" t="s">
        <v>13551</v>
      </c>
      <c r="C14280" s="5" t="s">
        <v>11</v>
      </c>
      <c r="D14280" s="5" t="s">
        <v>12</v>
      </c>
      <c r="E14280" s="5" t="s">
        <v>3490</v>
      </c>
    </row>
    <row r="14281" spans="1:5" x14ac:dyDescent="0.25">
      <c r="A14281" s="5">
        <f>14273</f>
      </c>
      <c r="B14281" s="5" t="s">
        <v>13552</v>
      </c>
      <c r="C14281" s="5" t="s">
        <v>11</v>
      </c>
      <c r="D14281" s="5" t="s">
        <v>12</v>
      </c>
      <c r="E14281" s="5" t="s">
        <v>3490</v>
      </c>
    </row>
    <row r="14282" spans="1:5" x14ac:dyDescent="0.25">
      <c r="A14282" s="5">
        <f>14274</f>
      </c>
      <c r="B14282" s="5" t="s">
        <v>13553</v>
      </c>
      <c r="C14282" s="5" t="s">
        <v>11</v>
      </c>
      <c r="D14282" s="5" t="s">
        <v>12</v>
      </c>
      <c r="E14282" s="5" t="s">
        <v>3490</v>
      </c>
    </row>
    <row r="14283" spans="1:5" x14ac:dyDescent="0.25">
      <c r="A14283" s="5">
        <f>14275</f>
      </c>
      <c r="B14283" s="5" t="s">
        <v>13554</v>
      </c>
      <c r="C14283" s="5" t="s">
        <v>11</v>
      </c>
      <c r="D14283" s="5" t="s">
        <v>12</v>
      </c>
      <c r="E14283" s="5" t="s">
        <v>3490</v>
      </c>
    </row>
    <row r="14284" spans="1:5" x14ac:dyDescent="0.25">
      <c r="A14284" s="5">
        <f>14276</f>
      </c>
      <c r="B14284" s="5" t="s">
        <v>13555</v>
      </c>
      <c r="C14284" s="5" t="s">
        <v>11</v>
      </c>
      <c r="D14284" s="5" t="s">
        <v>12</v>
      </c>
      <c r="E14284" s="5" t="s">
        <v>3490</v>
      </c>
    </row>
    <row r="14285" spans="1:5" x14ac:dyDescent="0.25">
      <c r="A14285" s="5">
        <f>14277</f>
      </c>
      <c r="B14285" s="5" t="s">
        <v>13556</v>
      </c>
      <c r="C14285" s="5" t="s">
        <v>11</v>
      </c>
      <c r="D14285" s="5" t="s">
        <v>12</v>
      </c>
      <c r="E14285" s="5" t="s">
        <v>3490</v>
      </c>
    </row>
    <row r="14286" spans="1:5" x14ac:dyDescent="0.25">
      <c r="A14286" s="5">
        <f>14278</f>
      </c>
      <c r="B14286" s="5" t="s">
        <v>13557</v>
      </c>
      <c r="C14286" s="5" t="s">
        <v>11</v>
      </c>
      <c r="D14286" s="5" t="s">
        <v>12</v>
      </c>
      <c r="E14286" s="5" t="s">
        <v>3490</v>
      </c>
    </row>
    <row r="14287" spans="1:5" x14ac:dyDescent="0.25">
      <c r="A14287" s="5">
        <f>14279</f>
      </c>
      <c r="B14287" s="5" t="s">
        <v>13558</v>
      </c>
      <c r="C14287" s="5" t="s">
        <v>11</v>
      </c>
      <c r="D14287" s="5" t="s">
        <v>12</v>
      </c>
      <c r="E14287" s="5" t="s">
        <v>3490</v>
      </c>
    </row>
    <row r="14288" spans="1:5" x14ac:dyDescent="0.25">
      <c r="A14288" s="5">
        <f>14280</f>
      </c>
      <c r="B14288" s="5" t="s">
        <v>13559</v>
      </c>
      <c r="C14288" s="5" t="s">
        <v>11</v>
      </c>
      <c r="D14288" s="5" t="s">
        <v>12</v>
      </c>
      <c r="E14288" s="5" t="s">
        <v>3490</v>
      </c>
    </row>
    <row r="14289" spans="1:5" x14ac:dyDescent="0.25">
      <c r="A14289" s="5">
        <f>14281</f>
      </c>
      <c r="B14289" s="5" t="s">
        <v>13560</v>
      </c>
      <c r="C14289" s="5" t="s">
        <v>11</v>
      </c>
      <c r="D14289" s="5" t="s">
        <v>12</v>
      </c>
      <c r="E14289" s="5" t="s">
        <v>3490</v>
      </c>
    </row>
    <row r="14290" spans="1:5" x14ac:dyDescent="0.25">
      <c r="A14290" s="5">
        <f>14282</f>
      </c>
      <c r="B14290" s="5" t="s">
        <v>13561</v>
      </c>
      <c r="C14290" s="5" t="s">
        <v>11</v>
      </c>
      <c r="D14290" s="5" t="s">
        <v>12</v>
      </c>
      <c r="E14290" s="5" t="s">
        <v>3490</v>
      </c>
    </row>
    <row r="14291" spans="1:5" x14ac:dyDescent="0.25">
      <c r="A14291" s="5">
        <f>14283</f>
      </c>
      <c r="B14291" s="5" t="s">
        <v>13562</v>
      </c>
      <c r="C14291" s="5" t="s">
        <v>11</v>
      </c>
      <c r="D14291" s="5" t="s">
        <v>12</v>
      </c>
      <c r="E14291" s="5" t="s">
        <v>3490</v>
      </c>
    </row>
    <row r="14292" spans="1:5" x14ac:dyDescent="0.25">
      <c r="A14292" s="5">
        <f>14284</f>
      </c>
      <c r="B14292" s="5" t="s">
        <v>13563</v>
      </c>
      <c r="C14292" s="5" t="s">
        <v>11</v>
      </c>
      <c r="D14292" s="5" t="s">
        <v>12</v>
      </c>
      <c r="E14292" s="5" t="s">
        <v>3490</v>
      </c>
    </row>
    <row r="14293" spans="1:5" x14ac:dyDescent="0.25">
      <c r="A14293" s="5">
        <f>14285</f>
      </c>
      <c r="B14293" s="5" t="s">
        <v>13564</v>
      </c>
      <c r="C14293" s="5" t="s">
        <v>11</v>
      </c>
      <c r="D14293" s="5" t="s">
        <v>12</v>
      </c>
      <c r="E14293" s="5" t="s">
        <v>3490</v>
      </c>
    </row>
    <row r="14294" spans="1:5" x14ac:dyDescent="0.25">
      <c r="A14294" s="5">
        <f>14286</f>
      </c>
      <c r="B14294" s="5" t="s">
        <v>13565</v>
      </c>
      <c r="C14294" s="5" t="s">
        <v>11</v>
      </c>
      <c r="D14294" s="5" t="s">
        <v>12</v>
      </c>
      <c r="E14294" s="5" t="s">
        <v>3490</v>
      </c>
    </row>
    <row r="14295" spans="1:5" x14ac:dyDescent="0.25">
      <c r="A14295" s="5">
        <f>14287</f>
      </c>
      <c r="B14295" s="5" t="s">
        <v>13566</v>
      </c>
      <c r="C14295" s="5" t="s">
        <v>11</v>
      </c>
      <c r="D14295" s="5" t="s">
        <v>12</v>
      </c>
      <c r="E14295" s="5" t="s">
        <v>3490</v>
      </c>
    </row>
    <row r="14296" spans="1:5" x14ac:dyDescent="0.25">
      <c r="A14296" s="5">
        <f>14288</f>
      </c>
      <c r="B14296" s="5" t="s">
        <v>13567</v>
      </c>
      <c r="C14296" s="5" t="s">
        <v>11</v>
      </c>
      <c r="D14296" s="5" t="s">
        <v>12</v>
      </c>
      <c r="E14296" s="5" t="s">
        <v>3490</v>
      </c>
    </row>
    <row r="14297" spans="1:5" x14ac:dyDescent="0.25">
      <c r="A14297" s="5">
        <f>14289</f>
      </c>
      <c r="B14297" s="5" t="s">
        <v>13568</v>
      </c>
      <c r="C14297" s="5" t="s">
        <v>11</v>
      </c>
      <c r="D14297" s="5" t="s">
        <v>12</v>
      </c>
      <c r="E14297" s="5" t="s">
        <v>3490</v>
      </c>
    </row>
    <row r="14298" spans="1:5" x14ac:dyDescent="0.25">
      <c r="A14298" s="5">
        <f>14290</f>
      </c>
      <c r="B14298" s="5" t="s">
        <v>13569</v>
      </c>
      <c r="C14298" s="5" t="s">
        <v>11</v>
      </c>
      <c r="D14298" s="5" t="s">
        <v>12</v>
      </c>
      <c r="E14298" s="5" t="s">
        <v>3490</v>
      </c>
    </row>
    <row r="14299" spans="1:5" x14ac:dyDescent="0.25">
      <c r="A14299" s="5">
        <f>14291</f>
      </c>
      <c r="B14299" s="5" t="s">
        <v>13570</v>
      </c>
      <c r="C14299" s="5" t="s">
        <v>11</v>
      </c>
      <c r="D14299" s="5" t="s">
        <v>12</v>
      </c>
      <c r="E14299" s="5" t="s">
        <v>3490</v>
      </c>
    </row>
    <row r="14300" spans="1:5" x14ac:dyDescent="0.25">
      <c r="A14300" s="5">
        <f>14292</f>
      </c>
      <c r="B14300" s="5" t="s">
        <v>13571</v>
      </c>
      <c r="C14300" s="5" t="s">
        <v>11</v>
      </c>
      <c r="D14300" s="5" t="s">
        <v>12</v>
      </c>
      <c r="E14300" s="5" t="s">
        <v>3490</v>
      </c>
    </row>
    <row r="14301" spans="1:5" x14ac:dyDescent="0.25">
      <c r="A14301" s="5">
        <f>14293</f>
      </c>
      <c r="B14301" s="5" t="s">
        <v>13572</v>
      </c>
      <c r="C14301" s="5" t="s">
        <v>11</v>
      </c>
      <c r="D14301" s="5" t="s">
        <v>12</v>
      </c>
      <c r="E14301" s="5" t="s">
        <v>3490</v>
      </c>
    </row>
    <row r="14302" spans="1:5" x14ac:dyDescent="0.25">
      <c r="A14302" s="5">
        <f>14294</f>
      </c>
      <c r="B14302" s="5" t="s">
        <v>13573</v>
      </c>
      <c r="C14302" s="5" t="s">
        <v>11</v>
      </c>
      <c r="D14302" s="5" t="s">
        <v>12</v>
      </c>
      <c r="E14302" s="5" t="s">
        <v>3490</v>
      </c>
    </row>
    <row r="14303" spans="1:5" x14ac:dyDescent="0.25">
      <c r="A14303" s="5">
        <f>14295</f>
      </c>
      <c r="B14303" s="5" t="s">
        <v>13574</v>
      </c>
      <c r="C14303" s="5" t="s">
        <v>11</v>
      </c>
      <c r="D14303" s="5" t="s">
        <v>12</v>
      </c>
      <c r="E14303" s="5" t="s">
        <v>3490</v>
      </c>
    </row>
    <row r="14304" spans="1:5" x14ac:dyDescent="0.25">
      <c r="A14304" s="5">
        <f>14296</f>
      </c>
      <c r="B14304" s="5" t="s">
        <v>13575</v>
      </c>
      <c r="C14304" s="5" t="s">
        <v>11</v>
      </c>
      <c r="D14304" s="5" t="s">
        <v>12</v>
      </c>
      <c r="E14304" s="5" t="s">
        <v>3490</v>
      </c>
    </row>
    <row r="14305" spans="1:5" x14ac:dyDescent="0.25">
      <c r="A14305" s="5">
        <f>14297</f>
      </c>
      <c r="B14305" s="5" t="s">
        <v>13576</v>
      </c>
      <c r="C14305" s="5" t="s">
        <v>11</v>
      </c>
      <c r="D14305" s="5" t="s">
        <v>12</v>
      </c>
      <c r="E14305" s="5" t="s">
        <v>3490</v>
      </c>
    </row>
    <row r="14306" spans="1:5" x14ac:dyDescent="0.25">
      <c r="A14306" s="5">
        <f>14298</f>
      </c>
      <c r="B14306" s="5" t="s">
        <v>13577</v>
      </c>
      <c r="C14306" s="5" t="s">
        <v>11</v>
      </c>
      <c r="D14306" s="5" t="s">
        <v>12</v>
      </c>
      <c r="E14306" s="5" t="s">
        <v>3490</v>
      </c>
    </row>
    <row r="14307" spans="1:5" x14ac:dyDescent="0.25">
      <c r="A14307" s="5">
        <f>14299</f>
      </c>
      <c r="B14307" s="5" t="s">
        <v>13578</v>
      </c>
      <c r="C14307" s="5" t="s">
        <v>11</v>
      </c>
      <c r="D14307" s="5" t="s">
        <v>12</v>
      </c>
      <c r="E14307" s="5" t="s">
        <v>3490</v>
      </c>
    </row>
    <row r="14308" spans="1:5" x14ac:dyDescent="0.25">
      <c r="A14308" s="5">
        <f>14300</f>
      </c>
      <c r="B14308" s="5" t="s">
        <v>13579</v>
      </c>
      <c r="C14308" s="5" t="s">
        <v>11</v>
      </c>
      <c r="D14308" s="5" t="s">
        <v>12</v>
      </c>
      <c r="E14308" s="5" t="s">
        <v>3490</v>
      </c>
    </row>
    <row r="14309" spans="1:5" x14ac:dyDescent="0.25">
      <c r="A14309" s="5">
        <f>14301</f>
      </c>
      <c r="B14309" s="5" t="s">
        <v>13580</v>
      </c>
      <c r="C14309" s="5" t="s">
        <v>11</v>
      </c>
      <c r="D14309" s="5" t="s">
        <v>12</v>
      </c>
      <c r="E14309" s="5" t="s">
        <v>3490</v>
      </c>
    </row>
    <row r="14310" spans="1:5" x14ac:dyDescent="0.25">
      <c r="A14310" s="5">
        <f>14302</f>
      </c>
      <c r="B14310" s="5" t="s">
        <v>13581</v>
      </c>
      <c r="C14310" s="5" t="s">
        <v>11</v>
      </c>
      <c r="D14310" s="5" t="s">
        <v>12</v>
      </c>
      <c r="E14310" s="5" t="s">
        <v>3490</v>
      </c>
    </row>
    <row r="14311" spans="1:5" x14ac:dyDescent="0.25">
      <c r="A14311" s="5">
        <f>14303</f>
      </c>
      <c r="B14311" s="5" t="s">
        <v>13582</v>
      </c>
      <c r="C14311" s="5" t="s">
        <v>11</v>
      </c>
      <c r="D14311" s="5" t="s">
        <v>12</v>
      </c>
      <c r="E14311" s="5" t="s">
        <v>3490</v>
      </c>
    </row>
    <row r="14312" spans="1:5" x14ac:dyDescent="0.25">
      <c r="A14312" s="5">
        <f>14304</f>
      </c>
      <c r="B14312" s="5" t="s">
        <v>13583</v>
      </c>
      <c r="C14312" s="5" t="s">
        <v>11</v>
      </c>
      <c r="D14312" s="5" t="s">
        <v>12</v>
      </c>
      <c r="E14312" s="5" t="s">
        <v>3490</v>
      </c>
    </row>
    <row r="14313" spans="1:5" x14ac:dyDescent="0.25">
      <c r="A14313" s="5">
        <f>14305</f>
      </c>
      <c r="B14313" s="5" t="s">
        <v>13584</v>
      </c>
      <c r="C14313" s="5" t="s">
        <v>11</v>
      </c>
      <c r="D14313" s="5" t="s">
        <v>12</v>
      </c>
      <c r="E14313" s="5" t="s">
        <v>3490</v>
      </c>
    </row>
    <row r="14314" spans="1:5" x14ac:dyDescent="0.25">
      <c r="A14314" s="5">
        <f>14306</f>
      </c>
      <c r="B14314" s="5" t="s">
        <v>13585</v>
      </c>
      <c r="C14314" s="5" t="s">
        <v>11</v>
      </c>
      <c r="D14314" s="5" t="s">
        <v>12</v>
      </c>
      <c r="E14314" s="5" t="s">
        <v>3490</v>
      </c>
    </row>
    <row r="14315" spans="1:5" x14ac:dyDescent="0.25">
      <c r="A14315" s="5">
        <f>14307</f>
      </c>
      <c r="B14315" s="5" t="s">
        <v>13586</v>
      </c>
      <c r="C14315" s="5" t="s">
        <v>11</v>
      </c>
      <c r="D14315" s="5" t="s">
        <v>12</v>
      </c>
      <c r="E14315" s="5" t="s">
        <v>3490</v>
      </c>
    </row>
    <row r="14316" spans="1:5" x14ac:dyDescent="0.25">
      <c r="A14316" s="5">
        <f>14308</f>
      </c>
      <c r="B14316" s="5" t="s">
        <v>13587</v>
      </c>
      <c r="C14316" s="5" t="s">
        <v>11</v>
      </c>
      <c r="D14316" s="5" t="s">
        <v>12</v>
      </c>
      <c r="E14316" s="5" t="s">
        <v>3490</v>
      </c>
    </row>
    <row r="14317" spans="1:5" x14ac:dyDescent="0.25">
      <c r="A14317" s="5">
        <f>14309</f>
      </c>
      <c r="B14317" s="5" t="s">
        <v>13588</v>
      </c>
      <c r="C14317" s="5" t="s">
        <v>11</v>
      </c>
      <c r="D14317" s="5" t="s">
        <v>12</v>
      </c>
      <c r="E14317" s="5" t="s">
        <v>3490</v>
      </c>
    </row>
    <row r="14318" spans="1:5" x14ac:dyDescent="0.25">
      <c r="A14318" s="5">
        <f>14310</f>
      </c>
      <c r="B14318" s="5" t="s">
        <v>13589</v>
      </c>
      <c r="C14318" s="5" t="s">
        <v>11</v>
      </c>
      <c r="D14318" s="5" t="s">
        <v>12</v>
      </c>
      <c r="E14318" s="5" t="s">
        <v>3490</v>
      </c>
    </row>
    <row r="14319" spans="1:5" x14ac:dyDescent="0.25">
      <c r="A14319" s="5">
        <f>14311</f>
      </c>
      <c r="B14319" s="5" t="s">
        <v>13590</v>
      </c>
      <c r="C14319" s="5" t="s">
        <v>11</v>
      </c>
      <c r="D14319" s="5" t="s">
        <v>12</v>
      </c>
      <c r="E14319" s="5" t="s">
        <v>3490</v>
      </c>
    </row>
    <row r="14320" spans="1:5" x14ac:dyDescent="0.25">
      <c r="A14320" s="5">
        <f>14312</f>
      </c>
      <c r="B14320" s="5" t="s">
        <v>13591</v>
      </c>
      <c r="C14320" s="5" t="s">
        <v>11</v>
      </c>
      <c r="D14320" s="5" t="s">
        <v>12</v>
      </c>
      <c r="E14320" s="5" t="s">
        <v>3490</v>
      </c>
    </row>
    <row r="14321" spans="1:5" x14ac:dyDescent="0.25">
      <c r="A14321" s="5">
        <f>14313</f>
      </c>
      <c r="B14321" s="5" t="s">
        <v>13592</v>
      </c>
      <c r="C14321" s="5" t="s">
        <v>11</v>
      </c>
      <c r="D14321" s="5" t="s">
        <v>12</v>
      </c>
      <c r="E14321" s="5" t="s">
        <v>3490</v>
      </c>
    </row>
    <row r="14322" spans="1:5" x14ac:dyDescent="0.25">
      <c r="A14322" s="5">
        <f>14314</f>
      </c>
      <c r="B14322" s="5" t="s">
        <v>13593</v>
      </c>
      <c r="C14322" s="5" t="s">
        <v>11</v>
      </c>
      <c r="D14322" s="5" t="s">
        <v>12</v>
      </c>
      <c r="E14322" s="5" t="s">
        <v>3490</v>
      </c>
    </row>
    <row r="14323" spans="1:5" x14ac:dyDescent="0.25">
      <c r="A14323" s="5">
        <f>14315</f>
      </c>
      <c r="B14323" s="5" t="s">
        <v>13594</v>
      </c>
      <c r="C14323" s="5" t="s">
        <v>11</v>
      </c>
      <c r="D14323" s="5" t="s">
        <v>12</v>
      </c>
      <c r="E14323" s="5" t="s">
        <v>3490</v>
      </c>
    </row>
    <row r="14324" spans="1:5" x14ac:dyDescent="0.25">
      <c r="A14324" s="5">
        <f>14316</f>
      </c>
      <c r="B14324" s="5" t="s">
        <v>13595</v>
      </c>
      <c r="C14324" s="5" t="s">
        <v>11</v>
      </c>
      <c r="D14324" s="5" t="s">
        <v>12</v>
      </c>
      <c r="E14324" s="5" t="s">
        <v>3490</v>
      </c>
    </row>
    <row r="14325" spans="1:5" x14ac:dyDescent="0.25">
      <c r="A14325" s="5">
        <f>14317</f>
      </c>
      <c r="B14325" s="5" t="s">
        <v>13596</v>
      </c>
      <c r="C14325" s="5" t="s">
        <v>11</v>
      </c>
      <c r="D14325" s="5" t="s">
        <v>12</v>
      </c>
      <c r="E14325" s="5" t="s">
        <v>3490</v>
      </c>
    </row>
    <row r="14326" spans="1:5" x14ac:dyDescent="0.25">
      <c r="A14326" s="5">
        <f>14318</f>
      </c>
      <c r="B14326" s="5" t="s">
        <v>13597</v>
      </c>
      <c r="C14326" s="5" t="s">
        <v>11</v>
      </c>
      <c r="D14326" s="5" t="s">
        <v>12</v>
      </c>
      <c r="E14326" s="5" t="s">
        <v>3490</v>
      </c>
    </row>
    <row r="14327" spans="1:5" x14ac:dyDescent="0.25">
      <c r="A14327" s="5">
        <f>14319</f>
      </c>
      <c r="B14327" s="5" t="s">
        <v>13598</v>
      </c>
      <c r="C14327" s="5" t="s">
        <v>11</v>
      </c>
      <c r="D14327" s="5" t="s">
        <v>12</v>
      </c>
      <c r="E14327" s="5" t="s">
        <v>3490</v>
      </c>
    </row>
    <row r="14328" spans="1:5" x14ac:dyDescent="0.25">
      <c r="A14328" s="5">
        <f>14320</f>
      </c>
      <c r="B14328" s="5" t="s">
        <v>13599</v>
      </c>
      <c r="C14328" s="5" t="s">
        <v>11</v>
      </c>
      <c r="D14328" s="5" t="s">
        <v>12</v>
      </c>
      <c r="E14328" s="5" t="s">
        <v>3490</v>
      </c>
    </row>
    <row r="14329" spans="1:5" x14ac:dyDescent="0.25">
      <c r="A14329" s="5">
        <f>14321</f>
      </c>
      <c r="B14329" s="5" t="s">
        <v>13600</v>
      </c>
      <c r="C14329" s="5" t="s">
        <v>11</v>
      </c>
      <c r="D14329" s="5" t="s">
        <v>12</v>
      </c>
      <c r="E14329" s="5" t="s">
        <v>3490</v>
      </c>
    </row>
    <row r="14330" spans="1:5" x14ac:dyDescent="0.25">
      <c r="A14330" s="5">
        <f>14322</f>
      </c>
      <c r="B14330" s="5" t="s">
        <v>13601</v>
      </c>
      <c r="C14330" s="5" t="s">
        <v>11</v>
      </c>
      <c r="D14330" s="5" t="s">
        <v>12</v>
      </c>
      <c r="E14330" s="5" t="s">
        <v>3490</v>
      </c>
    </row>
    <row r="14331" spans="1:5" x14ac:dyDescent="0.25">
      <c r="A14331" s="5">
        <f>14323</f>
      </c>
      <c r="B14331" s="5" t="s">
        <v>13602</v>
      </c>
      <c r="C14331" s="5" t="s">
        <v>11</v>
      </c>
      <c r="D14331" s="5" t="s">
        <v>12</v>
      </c>
      <c r="E14331" s="5" t="s">
        <v>3490</v>
      </c>
    </row>
    <row r="14332" spans="1:5" x14ac:dyDescent="0.25">
      <c r="A14332" s="5">
        <f>14324</f>
      </c>
      <c r="B14332" s="5" t="s">
        <v>13603</v>
      </c>
      <c r="C14332" s="5" t="s">
        <v>11</v>
      </c>
      <c r="D14332" s="5" t="s">
        <v>12</v>
      </c>
      <c r="E14332" s="5" t="s">
        <v>3490</v>
      </c>
    </row>
    <row r="14333" spans="1:5" x14ac:dyDescent="0.25">
      <c r="A14333" s="5">
        <f>14325</f>
      </c>
      <c r="B14333" s="5" t="s">
        <v>13604</v>
      </c>
      <c r="C14333" s="5" t="s">
        <v>11</v>
      </c>
      <c r="D14333" s="5" t="s">
        <v>12</v>
      </c>
      <c r="E14333" s="5" t="s">
        <v>3490</v>
      </c>
    </row>
    <row r="14334" spans="1:5" x14ac:dyDescent="0.25">
      <c r="A14334" s="5">
        <f>14326</f>
      </c>
      <c r="B14334" s="5" t="s">
        <v>13605</v>
      </c>
      <c r="C14334" s="5" t="s">
        <v>11</v>
      </c>
      <c r="D14334" s="5" t="s">
        <v>12</v>
      </c>
      <c r="E14334" s="5" t="s">
        <v>3490</v>
      </c>
    </row>
    <row r="14335" spans="1:5" x14ac:dyDescent="0.25">
      <c r="A14335" s="5">
        <f>14327</f>
      </c>
      <c r="B14335" s="5" t="s">
        <v>13606</v>
      </c>
      <c r="C14335" s="5" t="s">
        <v>11</v>
      </c>
      <c r="D14335" s="5" t="s">
        <v>12</v>
      </c>
      <c r="E14335" s="5" t="s">
        <v>3490</v>
      </c>
    </row>
    <row r="14336" spans="1:5" x14ac:dyDescent="0.25">
      <c r="A14336" s="5">
        <f>14328</f>
      </c>
      <c r="B14336" s="5" t="s">
        <v>13607</v>
      </c>
      <c r="C14336" s="5" t="s">
        <v>11</v>
      </c>
      <c r="D14336" s="5" t="s">
        <v>12</v>
      </c>
      <c r="E14336" s="5" t="s">
        <v>3490</v>
      </c>
    </row>
    <row r="14337" spans="1:5" x14ac:dyDescent="0.25">
      <c r="A14337" s="5">
        <f>14329</f>
      </c>
      <c r="B14337" s="5" t="s">
        <v>13608</v>
      </c>
      <c r="C14337" s="5" t="s">
        <v>11</v>
      </c>
      <c r="D14337" s="5" t="s">
        <v>12</v>
      </c>
      <c r="E14337" s="5" t="s">
        <v>3490</v>
      </c>
    </row>
    <row r="14338" spans="1:5" x14ac:dyDescent="0.25">
      <c r="A14338" s="5">
        <f>14330</f>
      </c>
      <c r="B14338" s="5" t="s">
        <v>13609</v>
      </c>
      <c r="C14338" s="5" t="s">
        <v>11</v>
      </c>
      <c r="D14338" s="5" t="s">
        <v>12</v>
      </c>
      <c r="E14338" s="5" t="s">
        <v>3490</v>
      </c>
    </row>
    <row r="14339" spans="1:5" x14ac:dyDescent="0.25">
      <c r="A14339" s="5">
        <f>14331</f>
      </c>
      <c r="B14339" s="5" t="s">
        <v>13610</v>
      </c>
      <c r="C14339" s="5" t="s">
        <v>11</v>
      </c>
      <c r="D14339" s="5" t="s">
        <v>12</v>
      </c>
      <c r="E14339" s="5" t="s">
        <v>3490</v>
      </c>
    </row>
    <row r="14340" spans="1:5" x14ac:dyDescent="0.25">
      <c r="A14340" s="5">
        <f>14332</f>
      </c>
      <c r="B14340" s="5" t="s">
        <v>13611</v>
      </c>
      <c r="C14340" s="5" t="s">
        <v>11</v>
      </c>
      <c r="D14340" s="5" t="s">
        <v>12</v>
      </c>
      <c r="E14340" s="5" t="s">
        <v>3490</v>
      </c>
    </row>
    <row r="14341" spans="1:5" x14ac:dyDescent="0.25">
      <c r="A14341" s="5">
        <f>14333</f>
      </c>
      <c r="B14341" s="5" t="s">
        <v>13612</v>
      </c>
      <c r="C14341" s="5" t="s">
        <v>11</v>
      </c>
      <c r="D14341" s="5" t="s">
        <v>12</v>
      </c>
      <c r="E14341" s="5" t="s">
        <v>3490</v>
      </c>
    </row>
    <row r="14342" spans="1:5" x14ac:dyDescent="0.25">
      <c r="A14342" s="5">
        <f>14334</f>
      </c>
      <c r="B14342" s="5" t="s">
        <v>13613</v>
      </c>
      <c r="C14342" s="5" t="s">
        <v>11</v>
      </c>
      <c r="D14342" s="5" t="s">
        <v>12</v>
      </c>
      <c r="E14342" s="5" t="s">
        <v>3490</v>
      </c>
    </row>
    <row r="14343" spans="1:5" x14ac:dyDescent="0.25">
      <c r="A14343" s="5">
        <f>14335</f>
      </c>
      <c r="B14343" s="5" t="s">
        <v>13614</v>
      </c>
      <c r="C14343" s="5" t="s">
        <v>11</v>
      </c>
      <c r="D14343" s="5" t="s">
        <v>12</v>
      </c>
      <c r="E14343" s="5" t="s">
        <v>3490</v>
      </c>
    </row>
    <row r="14344" spans="1:5" x14ac:dyDescent="0.25">
      <c r="A14344" s="5">
        <f>14336</f>
      </c>
      <c r="B14344" s="5" t="s">
        <v>13615</v>
      </c>
      <c r="C14344" s="5" t="s">
        <v>11</v>
      </c>
      <c r="D14344" s="5" t="s">
        <v>12</v>
      </c>
      <c r="E14344" s="5" t="s">
        <v>3490</v>
      </c>
    </row>
    <row r="14345" spans="1:5" x14ac:dyDescent="0.25">
      <c r="A14345" s="5">
        <f>14337</f>
      </c>
      <c r="B14345" s="5" t="s">
        <v>13616</v>
      </c>
      <c r="C14345" s="5" t="s">
        <v>11</v>
      </c>
      <c r="D14345" s="5" t="s">
        <v>12</v>
      </c>
      <c r="E14345" s="5" t="s">
        <v>3490</v>
      </c>
    </row>
    <row r="14346" spans="1:5" x14ac:dyDescent="0.25">
      <c r="A14346" s="5">
        <f>14338</f>
      </c>
      <c r="B14346" s="5" t="s">
        <v>13617</v>
      </c>
      <c r="C14346" s="5" t="s">
        <v>11</v>
      </c>
      <c r="D14346" s="5" t="s">
        <v>12</v>
      </c>
      <c r="E14346" s="5" t="s">
        <v>3490</v>
      </c>
    </row>
    <row r="14347" spans="1:5" x14ac:dyDescent="0.25">
      <c r="A14347" s="5">
        <f>14339</f>
      </c>
      <c r="B14347" s="5" t="s">
        <v>13618</v>
      </c>
      <c r="C14347" s="5" t="s">
        <v>11</v>
      </c>
      <c r="D14347" s="5" t="s">
        <v>12</v>
      </c>
      <c r="E14347" s="5" t="s">
        <v>3490</v>
      </c>
    </row>
    <row r="14348" spans="1:5" x14ac:dyDescent="0.25">
      <c r="A14348" s="5">
        <f>14340</f>
      </c>
      <c r="B14348" s="5" t="s">
        <v>13619</v>
      </c>
      <c r="C14348" s="5" t="s">
        <v>11</v>
      </c>
      <c r="D14348" s="5" t="s">
        <v>12</v>
      </c>
      <c r="E14348" s="5" t="s">
        <v>3490</v>
      </c>
    </row>
    <row r="14349" spans="1:5" x14ac:dyDescent="0.25">
      <c r="A14349" s="5">
        <f>14341</f>
      </c>
      <c r="B14349" s="5" t="s">
        <v>13620</v>
      </c>
      <c r="C14349" s="5" t="s">
        <v>11</v>
      </c>
      <c r="D14349" s="5" t="s">
        <v>12</v>
      </c>
      <c r="E14349" s="5" t="s">
        <v>3490</v>
      </c>
    </row>
    <row r="14350" spans="1:5" x14ac:dyDescent="0.25">
      <c r="A14350" s="5">
        <f>14342</f>
      </c>
      <c r="B14350" s="5" t="s">
        <v>13621</v>
      </c>
      <c r="C14350" s="5" t="s">
        <v>11</v>
      </c>
      <c r="D14350" s="5" t="s">
        <v>12</v>
      </c>
      <c r="E14350" s="5" t="s">
        <v>2412</v>
      </c>
    </row>
    <row r="14351" spans="1:5" x14ac:dyDescent="0.25">
      <c r="A14351" s="5">
        <f>14343</f>
      </c>
      <c r="B14351" s="5" t="s">
        <v>13622</v>
      </c>
      <c r="C14351" s="5" t="s">
        <v>11</v>
      </c>
      <c r="D14351" s="5" t="s">
        <v>12</v>
      </c>
      <c r="E14351" s="5" t="s">
        <v>3549</v>
      </c>
    </row>
    <row r="14352" spans="1:5" x14ac:dyDescent="0.25">
      <c r="A14352" s="5">
        <f>14344</f>
      </c>
      <c r="B14352" s="5" t="s">
        <v>13623</v>
      </c>
      <c r="C14352" s="5" t="s">
        <v>11</v>
      </c>
      <c r="D14352" s="5" t="s">
        <v>12</v>
      </c>
      <c r="E14352" s="5" t="s">
        <v>3626</v>
      </c>
    </row>
    <row r="14353" spans="1:5" x14ac:dyDescent="0.25">
      <c r="A14353" s="5">
        <f>14345</f>
      </c>
      <c r="B14353" s="5" t="s">
        <v>13624</v>
      </c>
      <c r="C14353" s="5" t="s">
        <v>11</v>
      </c>
      <c r="D14353" s="5" t="s">
        <v>12</v>
      </c>
      <c r="E14353" s="5" t="s">
        <v>1028</v>
      </c>
    </row>
    <row r="14354" spans="1:5" x14ac:dyDescent="0.25">
      <c r="A14354" s="5">
        <f>14346</f>
      </c>
      <c r="B14354" s="5" t="s">
        <v>13625</v>
      </c>
      <c r="C14354" s="5" t="s">
        <v>11</v>
      </c>
      <c r="D14354" s="5" t="s">
        <v>12</v>
      </c>
      <c r="E14354" s="5" t="s">
        <v>11362</v>
      </c>
    </row>
    <row r="14355" spans="1:5" x14ac:dyDescent="0.25">
      <c r="A14355" s="5">
        <f>14347</f>
      </c>
      <c r="B14355" s="5" t="s">
        <v>13626</v>
      </c>
      <c r="C14355" s="5" t="s">
        <v>11</v>
      </c>
      <c r="D14355" s="5" t="s">
        <v>12</v>
      </c>
      <c r="E14355" s="5" t="s">
        <v>781</v>
      </c>
    </row>
    <row r="14356" spans="1:5" x14ac:dyDescent="0.25">
      <c r="A14356" s="5">
        <f>14348</f>
      </c>
      <c r="B14356" s="5" t="s">
        <v>13627</v>
      </c>
      <c r="C14356" s="5" t="s">
        <v>11</v>
      </c>
      <c r="D14356" s="5" t="s">
        <v>12</v>
      </c>
      <c r="E14356" s="5" t="s">
        <v>2265</v>
      </c>
    </row>
    <row r="14357" spans="1:5" x14ac:dyDescent="0.25">
      <c r="A14357" s="5">
        <f>14349</f>
      </c>
      <c r="B14357" s="5" t="s">
        <v>13628</v>
      </c>
      <c r="C14357" s="5" t="s">
        <v>11</v>
      </c>
      <c r="D14357" s="5" t="s">
        <v>12</v>
      </c>
      <c r="E14357" s="5" t="s">
        <v>3430</v>
      </c>
    </row>
    <row r="14358" spans="1:5" x14ac:dyDescent="0.25">
      <c r="A14358" s="5">
        <f>14350</f>
      </c>
      <c r="B14358" s="5" t="s">
        <v>13629</v>
      </c>
      <c r="C14358" s="5" t="s">
        <v>11</v>
      </c>
      <c r="D14358" s="5" t="s">
        <v>12</v>
      </c>
      <c r="E14358" s="5" t="s">
        <v>726</v>
      </c>
    </row>
    <row r="14359" spans="1:5" x14ac:dyDescent="0.25">
      <c r="A14359" s="5">
        <f>14351</f>
      </c>
      <c r="B14359" s="5" t="s">
        <v>13630</v>
      </c>
      <c r="C14359" s="5" t="s">
        <v>11</v>
      </c>
      <c r="D14359" s="5" t="s">
        <v>12</v>
      </c>
      <c r="E14359" s="5" t="s">
        <v>871</v>
      </c>
    </row>
    <row r="14360" spans="1:5" x14ac:dyDescent="0.25">
      <c r="A14360" s="5">
        <f>14352</f>
      </c>
      <c r="B14360" s="5" t="s">
        <v>13631</v>
      </c>
      <c r="C14360" s="5" t="s">
        <v>11</v>
      </c>
      <c r="D14360" s="5" t="s">
        <v>12</v>
      </c>
      <c r="E14360" s="5" t="s">
        <v>2398</v>
      </c>
    </row>
    <row r="14361" spans="1:5" x14ac:dyDescent="0.25">
      <c r="A14361" s="5">
        <f>14353</f>
      </c>
      <c r="B14361" s="5" t="s">
        <v>13632</v>
      </c>
      <c r="C14361" s="5" t="s">
        <v>11</v>
      </c>
      <c r="D14361" s="5" t="s">
        <v>12</v>
      </c>
      <c r="E14361" s="5" t="s">
        <v>2575</v>
      </c>
    </row>
    <row r="14362" spans="1:5" x14ac:dyDescent="0.25">
      <c r="A14362" s="5">
        <f>14354</f>
      </c>
      <c r="B14362" s="5" t="s">
        <v>13633</v>
      </c>
      <c r="C14362" s="5" t="s">
        <v>11</v>
      </c>
      <c r="D14362" s="5" t="s">
        <v>12</v>
      </c>
      <c r="E14362" s="5" t="s">
        <v>3690</v>
      </c>
    </row>
    <row r="14363" spans="1:5" x14ac:dyDescent="0.25">
      <c r="A14363" s="5">
        <f>14355</f>
      </c>
      <c r="B14363" s="5" t="s">
        <v>13634</v>
      </c>
      <c r="C14363" s="5" t="s">
        <v>11</v>
      </c>
      <c r="D14363" s="5" t="s">
        <v>12</v>
      </c>
      <c r="E14363" s="5" t="s">
        <v>2616</v>
      </c>
    </row>
    <row r="14364" spans="1:5" x14ac:dyDescent="0.25">
      <c r="A14364" s="5">
        <f>14356</f>
      </c>
      <c r="B14364" s="5" t="s">
        <v>13635</v>
      </c>
      <c r="C14364" s="5" t="s">
        <v>11</v>
      </c>
      <c r="D14364" s="5" t="s">
        <v>12</v>
      </c>
      <c r="E14364" s="5" t="s">
        <v>1042</v>
      </c>
    </row>
    <row r="14365" spans="1:5" x14ac:dyDescent="0.25">
      <c r="A14365" s="5">
        <f>14357</f>
      </c>
      <c r="B14365" s="5" t="s">
        <v>13636</v>
      </c>
      <c r="C14365" s="5" t="s">
        <v>11</v>
      </c>
      <c r="D14365" s="5" t="s">
        <v>12</v>
      </c>
      <c r="E14365" s="5" t="s">
        <v>10660</v>
      </c>
    </row>
    <row r="14366" spans="1:5" x14ac:dyDescent="0.25">
      <c r="A14366" s="5">
        <f>14358</f>
      </c>
      <c r="B14366" s="5" t="s">
        <v>13637</v>
      </c>
      <c r="C14366" s="5" t="s">
        <v>11</v>
      </c>
      <c r="D14366" s="5" t="s">
        <v>12</v>
      </c>
      <c r="E14366" s="5" t="s">
        <v>2329</v>
      </c>
    </row>
    <row r="14367" spans="1:5" x14ac:dyDescent="0.25">
      <c r="A14367" s="5">
        <f>14359</f>
      </c>
      <c r="B14367" s="5" t="s">
        <v>13638</v>
      </c>
      <c r="C14367" s="5" t="s">
        <v>11</v>
      </c>
      <c r="D14367" s="5" t="s">
        <v>12</v>
      </c>
      <c r="E14367" s="5" t="s">
        <v>728</v>
      </c>
    </row>
    <row r="14368" spans="1:5" x14ac:dyDescent="0.25">
      <c r="A14368" s="5">
        <f>14360</f>
      </c>
      <c r="B14368" s="5" t="s">
        <v>13639</v>
      </c>
      <c r="C14368" s="5" t="s">
        <v>11</v>
      </c>
      <c r="D14368" s="5" t="s">
        <v>12</v>
      </c>
      <c r="E14368" s="5" t="s">
        <v>2661</v>
      </c>
    </row>
    <row r="14369" spans="1:5" x14ac:dyDescent="0.25">
      <c r="A14369" s="5">
        <f>14361</f>
      </c>
      <c r="B14369" s="5" t="s">
        <v>13640</v>
      </c>
      <c r="C14369" s="5" t="s">
        <v>11</v>
      </c>
      <c r="D14369" s="5" t="s">
        <v>12</v>
      </c>
      <c r="E14369" s="5" t="s">
        <v>9518</v>
      </c>
    </row>
    <row r="14370" spans="1:5" x14ac:dyDescent="0.25">
      <c r="A14370" s="5">
        <f>14362</f>
      </c>
      <c r="B14370" s="5" t="s">
        <v>13641</v>
      </c>
      <c r="C14370" s="5" t="s">
        <v>11</v>
      </c>
      <c r="D14370" s="5" t="s">
        <v>12</v>
      </c>
      <c r="E14370" s="5" t="s">
        <v>2302</v>
      </c>
    </row>
    <row r="14371" spans="1:5" x14ac:dyDescent="0.25">
      <c r="A14371" s="5">
        <f>14363</f>
      </c>
      <c r="B14371" s="5" t="s">
        <v>13642</v>
      </c>
      <c r="C14371" s="5" t="s">
        <v>11</v>
      </c>
      <c r="D14371" s="5" t="s">
        <v>12</v>
      </c>
      <c r="E14371" s="5" t="s">
        <v>832</v>
      </c>
    </row>
    <row r="14372" spans="1:5" x14ac:dyDescent="0.25">
      <c r="A14372" s="5">
        <f>14364</f>
      </c>
      <c r="B14372" s="5" t="s">
        <v>13643</v>
      </c>
      <c r="C14372" s="5" t="s">
        <v>11</v>
      </c>
      <c r="D14372" s="5" t="s">
        <v>12</v>
      </c>
      <c r="E14372" s="5" t="s">
        <v>3604</v>
      </c>
    </row>
    <row r="14373" spans="1:5" x14ac:dyDescent="0.25">
      <c r="A14373" s="5">
        <f>14365</f>
      </c>
      <c r="B14373" s="5" t="s">
        <v>13644</v>
      </c>
      <c r="C14373" s="5" t="s">
        <v>11</v>
      </c>
      <c r="D14373" s="5" t="s">
        <v>12</v>
      </c>
      <c r="E14373" s="5" t="s">
        <v>959</v>
      </c>
    </row>
    <row r="14374" spans="1:5" x14ac:dyDescent="0.25">
      <c r="A14374" s="5">
        <f>14366</f>
      </c>
      <c r="B14374" s="5" t="s">
        <v>13645</v>
      </c>
      <c r="C14374" s="5" t="s">
        <v>11</v>
      </c>
      <c r="D14374" s="5" t="s">
        <v>12</v>
      </c>
      <c r="E14374" s="5" t="s">
        <v>1045</v>
      </c>
    </row>
    <row r="14375" spans="1:5" x14ac:dyDescent="0.25">
      <c r="A14375" s="5">
        <f>14367</f>
      </c>
      <c r="B14375" s="5" t="s">
        <v>13646</v>
      </c>
      <c r="C14375" s="5" t="s">
        <v>11</v>
      </c>
      <c r="D14375" s="5" t="s">
        <v>12</v>
      </c>
      <c r="E14375" s="5" t="s">
        <v>2668</v>
      </c>
    </row>
    <row r="14376" spans="1:5" x14ac:dyDescent="0.25">
      <c r="A14376" s="5">
        <f>14368</f>
      </c>
      <c r="B14376" s="5" t="s">
        <v>13647</v>
      </c>
      <c r="C14376" s="5" t="s">
        <v>11</v>
      </c>
      <c r="D14376" s="5" t="s">
        <v>12</v>
      </c>
      <c r="E14376" s="5" t="s">
        <v>2241</v>
      </c>
    </row>
    <row r="14377" spans="1:5" x14ac:dyDescent="0.25">
      <c r="A14377" s="5">
        <f>14369</f>
      </c>
      <c r="B14377" s="5" t="s">
        <v>13648</v>
      </c>
      <c r="C14377" s="5" t="s">
        <v>11</v>
      </c>
      <c r="D14377" s="5" t="s">
        <v>12</v>
      </c>
      <c r="E14377" s="5" t="s">
        <v>3869</v>
      </c>
    </row>
    <row r="14378" spans="1:5" x14ac:dyDescent="0.25">
      <c r="A14378" s="5">
        <f>14370</f>
      </c>
      <c r="B14378" s="5" t="s">
        <v>13649</v>
      </c>
      <c r="C14378" s="5" t="s">
        <v>11</v>
      </c>
      <c r="D14378" s="5" t="s">
        <v>12</v>
      </c>
      <c r="E14378" s="5" t="s">
        <v>917</v>
      </c>
    </row>
    <row r="14379" spans="1:5" x14ac:dyDescent="0.25">
      <c r="A14379" s="5">
        <f>14371</f>
      </c>
      <c r="B14379" s="5" t="s">
        <v>13650</v>
      </c>
      <c r="C14379" s="5" t="s">
        <v>11</v>
      </c>
      <c r="D14379" s="5" t="s">
        <v>12</v>
      </c>
      <c r="E14379" s="5" t="s">
        <v>11414</v>
      </c>
    </row>
    <row r="14380" spans="1:5" x14ac:dyDescent="0.25">
      <c r="A14380" s="5">
        <f>14372</f>
      </c>
      <c r="B14380" s="5" t="s">
        <v>13651</v>
      </c>
      <c r="C14380" s="5" t="s">
        <v>11</v>
      </c>
      <c r="D14380" s="5" t="s">
        <v>12</v>
      </c>
      <c r="E14380" s="5" t="s">
        <v>3664</v>
      </c>
    </row>
    <row r="14381" spans="1:5" x14ac:dyDescent="0.25">
      <c r="A14381" s="5">
        <f>14373</f>
      </c>
      <c r="B14381" s="5" t="s">
        <v>13652</v>
      </c>
      <c r="C14381" s="5" t="s">
        <v>11</v>
      </c>
      <c r="D14381" s="5" t="s">
        <v>12</v>
      </c>
      <c r="E14381" s="5" t="s">
        <v>10683</v>
      </c>
    </row>
    <row r="14382" spans="1:5" x14ac:dyDescent="0.25">
      <c r="A14382" s="5">
        <f>14374</f>
      </c>
      <c r="B14382" s="5" t="s">
        <v>13653</v>
      </c>
      <c r="C14382" s="5" t="s">
        <v>11</v>
      </c>
      <c r="D14382" s="5" t="s">
        <v>12</v>
      </c>
      <c r="E14382" s="5" t="s">
        <v>1020</v>
      </c>
    </row>
    <row r="14383" spans="1:5" x14ac:dyDescent="0.25">
      <c r="A14383" s="5">
        <f>14375</f>
      </c>
      <c r="B14383" s="5" t="s">
        <v>13654</v>
      </c>
      <c r="C14383" s="5" t="s">
        <v>11</v>
      </c>
      <c r="D14383" s="5" t="s">
        <v>12</v>
      </c>
      <c r="E14383" s="5" t="s">
        <v>2262</v>
      </c>
    </row>
    <row r="14384" spans="1:5" x14ac:dyDescent="0.25">
      <c r="A14384" s="5">
        <f>14376</f>
      </c>
      <c r="B14384" s="5" t="s">
        <v>13655</v>
      </c>
      <c r="C14384" s="5" t="s">
        <v>11</v>
      </c>
      <c r="D14384" s="5" t="s">
        <v>12</v>
      </c>
      <c r="E14384" s="5" t="s">
        <v>1040</v>
      </c>
    </row>
    <row r="14385" spans="1:5" x14ac:dyDescent="0.25">
      <c r="A14385" s="5">
        <f>14377</f>
      </c>
      <c r="B14385" s="5" t="s">
        <v>13656</v>
      </c>
      <c r="C14385" s="5" t="s">
        <v>11</v>
      </c>
      <c r="D14385" s="5" t="s">
        <v>12</v>
      </c>
      <c r="E14385" s="5" t="s">
        <v>941</v>
      </c>
    </row>
    <row r="14386" spans="1:5" x14ac:dyDescent="0.25">
      <c r="A14386" s="5">
        <f>14378</f>
      </c>
      <c r="B14386" s="5" t="s">
        <v>13657</v>
      </c>
      <c r="C14386" s="5" t="s">
        <v>11</v>
      </c>
      <c r="D14386" s="5" t="s">
        <v>12</v>
      </c>
      <c r="E14386" s="5" t="s">
        <v>2398</v>
      </c>
    </row>
    <row r="14387" spans="1:5" x14ac:dyDescent="0.25">
      <c r="A14387" s="5">
        <f>14379</f>
      </c>
      <c r="B14387" s="5" t="s">
        <v>13658</v>
      </c>
      <c r="C14387" s="5" t="s">
        <v>11</v>
      </c>
      <c r="D14387" s="5" t="s">
        <v>12</v>
      </c>
      <c r="E14387" s="5" t="s">
        <v>10059</v>
      </c>
    </row>
    <row r="14388" spans="1:5" x14ac:dyDescent="0.25">
      <c r="A14388" s="5">
        <f>14380</f>
      </c>
      <c r="B14388" s="5" t="s">
        <v>13659</v>
      </c>
      <c r="C14388" s="5" t="s">
        <v>11</v>
      </c>
      <c r="D14388" s="5" t="s">
        <v>12</v>
      </c>
      <c r="E14388" s="5" t="s">
        <v>869</v>
      </c>
    </row>
    <row r="14389" spans="1:5" x14ac:dyDescent="0.25">
      <c r="A14389" s="5">
        <f>14381</f>
      </c>
      <c r="B14389" s="5" t="s">
        <v>13660</v>
      </c>
      <c r="C14389" s="5" t="s">
        <v>11</v>
      </c>
      <c r="D14389" s="5" t="s">
        <v>12</v>
      </c>
      <c r="E14389" s="5" t="s">
        <v>2327</v>
      </c>
    </row>
    <row r="14390" spans="1:5" x14ac:dyDescent="0.25">
      <c r="A14390" s="5">
        <f>14382</f>
      </c>
      <c r="B14390" s="5" t="s">
        <v>13661</v>
      </c>
      <c r="C14390" s="5" t="s">
        <v>11</v>
      </c>
      <c r="D14390" s="5" t="s">
        <v>12</v>
      </c>
      <c r="E14390" s="5" t="s">
        <v>1040</v>
      </c>
    </row>
    <row r="14391" spans="1:5" x14ac:dyDescent="0.25">
      <c r="A14391" s="5">
        <f>14383</f>
      </c>
      <c r="B14391" s="5" t="s">
        <v>13662</v>
      </c>
      <c r="C14391" s="5" t="s">
        <v>11</v>
      </c>
      <c r="D14391" s="5" t="s">
        <v>12</v>
      </c>
      <c r="E14391" s="5" t="s">
        <v>10843</v>
      </c>
    </row>
    <row r="14392" spans="1:5" x14ac:dyDescent="0.25">
      <c r="A14392" s="5">
        <f>14384</f>
      </c>
      <c r="B14392" s="5" t="s">
        <v>13663</v>
      </c>
      <c r="C14392" s="5" t="s">
        <v>11</v>
      </c>
      <c r="D14392" s="5" t="s">
        <v>12</v>
      </c>
      <c r="E14392" s="5" t="s">
        <v>1002</v>
      </c>
    </row>
    <row r="14393" spans="1:5" x14ac:dyDescent="0.25">
      <c r="A14393" s="5">
        <f>14385</f>
      </c>
      <c r="B14393" s="5" t="s">
        <v>13664</v>
      </c>
      <c r="C14393" s="5" t="s">
        <v>11</v>
      </c>
      <c r="D14393" s="5" t="s">
        <v>12</v>
      </c>
      <c r="E14393" s="5" t="s">
        <v>4132</v>
      </c>
    </row>
    <row r="14394" spans="1:5" x14ac:dyDescent="0.25">
      <c r="A14394" s="5">
        <f>14386</f>
      </c>
      <c r="B14394" s="5" t="s">
        <v>13665</v>
      </c>
      <c r="C14394" s="5" t="s">
        <v>11</v>
      </c>
      <c r="D14394" s="5" t="s">
        <v>12</v>
      </c>
      <c r="E14394" s="5" t="s">
        <v>3580</v>
      </c>
    </row>
    <row r="14395" spans="1:5" x14ac:dyDescent="0.25">
      <c r="A14395" s="5">
        <f>14387</f>
      </c>
      <c r="B14395" s="5" t="s">
        <v>13666</v>
      </c>
      <c r="C14395" s="5" t="s">
        <v>11</v>
      </c>
      <c r="D14395" s="5" t="s">
        <v>12</v>
      </c>
      <c r="E14395" s="5" t="s">
        <v>3493</v>
      </c>
    </row>
    <row r="14396" spans="1:5" x14ac:dyDescent="0.25">
      <c r="A14396" s="5">
        <f>14388</f>
      </c>
      <c r="B14396" s="5" t="s">
        <v>13667</v>
      </c>
      <c r="C14396" s="5" t="s">
        <v>11</v>
      </c>
      <c r="D14396" s="5" t="s">
        <v>12</v>
      </c>
      <c r="E14396" s="5" t="s">
        <v>2869</v>
      </c>
    </row>
    <row r="14397" spans="1:5" x14ac:dyDescent="0.25">
      <c r="A14397" s="5">
        <f>14389</f>
      </c>
      <c r="B14397" s="5" t="s">
        <v>13668</v>
      </c>
      <c r="C14397" s="5" t="s">
        <v>11</v>
      </c>
      <c r="D14397" s="5" t="s">
        <v>12</v>
      </c>
      <c r="E14397" s="5" t="s">
        <v>9512</v>
      </c>
    </row>
    <row r="14398" spans="1:5" x14ac:dyDescent="0.25">
      <c r="A14398" s="5">
        <f>14390</f>
      </c>
      <c r="B14398" s="5" t="s">
        <v>13669</v>
      </c>
      <c r="C14398" s="5" t="s">
        <v>11</v>
      </c>
      <c r="D14398" s="5" t="s">
        <v>12</v>
      </c>
      <c r="E14398" s="5" t="s">
        <v>823</v>
      </c>
    </row>
    <row r="14399" spans="1:5" x14ac:dyDescent="0.25">
      <c r="A14399" s="5">
        <f>14391</f>
      </c>
      <c r="B14399" s="5" t="s">
        <v>13670</v>
      </c>
      <c r="C14399" s="5" t="s">
        <v>11</v>
      </c>
      <c r="D14399" s="5" t="s">
        <v>12</v>
      </c>
      <c r="E14399" s="5" t="s">
        <v>1045</v>
      </c>
    </row>
    <row r="14400" spans="1:5" x14ac:dyDescent="0.25">
      <c r="A14400" s="5">
        <f>14392</f>
      </c>
      <c r="B14400" s="5" t="s">
        <v>13671</v>
      </c>
      <c r="C14400" s="5" t="s">
        <v>11</v>
      </c>
      <c r="D14400" s="5" t="s">
        <v>12</v>
      </c>
      <c r="E14400" s="5" t="s">
        <v>3367</v>
      </c>
    </row>
    <row r="14401" spans="1:5" x14ac:dyDescent="0.25">
      <c r="A14401" s="5">
        <f>14393</f>
      </c>
      <c r="B14401" s="5" t="s">
        <v>13672</v>
      </c>
      <c r="C14401" s="5" t="s">
        <v>11</v>
      </c>
      <c r="D14401" s="5" t="s">
        <v>12</v>
      </c>
      <c r="E14401" s="5" t="s">
        <v>10843</v>
      </c>
    </row>
    <row r="14402" spans="1:5" x14ac:dyDescent="0.25">
      <c r="A14402" s="5">
        <f>14394</f>
      </c>
      <c r="B14402" s="5" t="s">
        <v>13673</v>
      </c>
      <c r="C14402" s="5" t="s">
        <v>11</v>
      </c>
      <c r="D14402" s="5" t="s">
        <v>12</v>
      </c>
      <c r="E14402" s="5" t="s">
        <v>3754</v>
      </c>
    </row>
    <row r="14403" spans="1:5" x14ac:dyDescent="0.25">
      <c r="A14403" s="5">
        <f>14395</f>
      </c>
      <c r="B14403" s="5" t="s">
        <v>13674</v>
      </c>
      <c r="C14403" s="5" t="s">
        <v>11</v>
      </c>
      <c r="D14403" s="5" t="s">
        <v>12</v>
      </c>
      <c r="E14403" s="5" t="s">
        <v>11438</v>
      </c>
    </row>
    <row r="14404" spans="1:5" x14ac:dyDescent="0.25">
      <c r="A14404" s="5">
        <f>14396</f>
      </c>
      <c r="B14404" s="5" t="s">
        <v>13675</v>
      </c>
      <c r="C14404" s="5" t="s">
        <v>11</v>
      </c>
      <c r="D14404" s="5" t="s">
        <v>12</v>
      </c>
      <c r="E14404" s="5" t="s">
        <v>9521</v>
      </c>
    </row>
    <row r="14405" spans="1:5" x14ac:dyDescent="0.25">
      <c r="A14405" s="5">
        <f>14397</f>
      </c>
      <c r="B14405" s="5" t="s">
        <v>13676</v>
      </c>
      <c r="C14405" s="5" t="s">
        <v>11</v>
      </c>
      <c r="D14405" s="5" t="s">
        <v>12</v>
      </c>
      <c r="E14405" s="5" t="s">
        <v>2626</v>
      </c>
    </row>
    <row r="14406" spans="1:5" x14ac:dyDescent="0.25">
      <c r="A14406" s="5">
        <f>14398</f>
      </c>
      <c r="B14406" s="5" t="s">
        <v>13677</v>
      </c>
      <c r="C14406" s="5" t="s">
        <v>11</v>
      </c>
      <c r="D14406" s="5" t="s">
        <v>12</v>
      </c>
      <c r="E14406" s="5" t="s">
        <v>9578</v>
      </c>
    </row>
    <row r="14407" spans="1:5" x14ac:dyDescent="0.25">
      <c r="A14407" s="5">
        <f>14399</f>
      </c>
      <c r="B14407" s="5" t="s">
        <v>13678</v>
      </c>
      <c r="C14407" s="5" t="s">
        <v>11</v>
      </c>
      <c r="D14407" s="5" t="s">
        <v>12</v>
      </c>
      <c r="E14407" s="5" t="s">
        <v>3376</v>
      </c>
    </row>
    <row r="14408" spans="1:5" x14ac:dyDescent="0.25">
      <c r="A14408" s="5">
        <f>14400</f>
      </c>
      <c r="B14408" s="5" t="s">
        <v>13679</v>
      </c>
      <c r="C14408" s="5" t="s">
        <v>11</v>
      </c>
      <c r="D14408" s="5" t="s">
        <v>12</v>
      </c>
      <c r="E14408" s="5" t="s">
        <v>3500</v>
      </c>
    </row>
    <row r="14409" spans="1:5" x14ac:dyDescent="0.25">
      <c r="A14409" s="5">
        <f>14401</f>
      </c>
      <c r="B14409" s="5" t="s">
        <v>13680</v>
      </c>
      <c r="C14409" s="5" t="s">
        <v>11</v>
      </c>
      <c r="D14409" s="5" t="s">
        <v>12</v>
      </c>
      <c r="E14409" s="5" t="s">
        <v>3433</v>
      </c>
    </row>
    <row r="14410" spans="1:5" x14ac:dyDescent="0.25">
      <c r="A14410" s="5">
        <f>14402</f>
      </c>
      <c r="B14410" s="5" t="s">
        <v>13681</v>
      </c>
      <c r="C14410" s="5" t="s">
        <v>11</v>
      </c>
      <c r="D14410" s="5" t="s">
        <v>12</v>
      </c>
      <c r="E14410" s="5" t="s">
        <v>2876</v>
      </c>
    </row>
    <row r="14411" spans="1:5" x14ac:dyDescent="0.25">
      <c r="A14411" s="5">
        <f>14403</f>
      </c>
      <c r="B14411" s="5" t="s">
        <v>13682</v>
      </c>
      <c r="C14411" s="5" t="s">
        <v>11</v>
      </c>
      <c r="D14411" s="5" t="s">
        <v>12</v>
      </c>
      <c r="E14411" s="5" t="s">
        <v>879</v>
      </c>
    </row>
    <row r="14412" spans="1:5" x14ac:dyDescent="0.25">
      <c r="A14412" s="5">
        <f>14404</f>
      </c>
      <c r="B14412" s="5" t="s">
        <v>13683</v>
      </c>
      <c r="C14412" s="5" t="s">
        <v>11</v>
      </c>
      <c r="D14412" s="5" t="s">
        <v>12</v>
      </c>
      <c r="E14412" s="5" t="s">
        <v>2338</v>
      </c>
    </row>
    <row r="14413" spans="1:5" x14ac:dyDescent="0.25">
      <c r="A14413" s="5">
        <f>14405</f>
      </c>
      <c r="B14413" s="5" t="s">
        <v>13684</v>
      </c>
      <c r="C14413" s="5" t="s">
        <v>11</v>
      </c>
      <c r="D14413" s="5" t="s">
        <v>12</v>
      </c>
      <c r="E14413" s="5" t="s">
        <v>2381</v>
      </c>
    </row>
    <row r="14414" spans="1:5" x14ac:dyDescent="0.25">
      <c r="A14414" s="5">
        <f>14406</f>
      </c>
      <c r="B14414" s="5" t="s">
        <v>13685</v>
      </c>
      <c r="C14414" s="5" t="s">
        <v>11</v>
      </c>
      <c r="D14414" s="5" t="s">
        <v>12</v>
      </c>
      <c r="E14414" s="5" t="s">
        <v>2596</v>
      </c>
    </row>
    <row r="14415" spans="1:5" x14ac:dyDescent="0.25">
      <c r="A14415" s="5">
        <f>14407</f>
      </c>
      <c r="B14415" s="5" t="s">
        <v>13686</v>
      </c>
      <c r="C14415" s="5" t="s">
        <v>11</v>
      </c>
      <c r="D14415" s="5" t="s">
        <v>12</v>
      </c>
      <c r="E14415" s="5" t="s">
        <v>832</v>
      </c>
    </row>
    <row r="14416" spans="1:5" x14ac:dyDescent="0.25">
      <c r="A14416" s="5">
        <f>14408</f>
      </c>
      <c r="B14416" s="5" t="s">
        <v>13687</v>
      </c>
      <c r="C14416" s="5" t="s">
        <v>11</v>
      </c>
      <c r="D14416" s="5" t="s">
        <v>12</v>
      </c>
      <c r="E14416" s="5" t="s">
        <v>871</v>
      </c>
    </row>
    <row r="14417" spans="1:5" x14ac:dyDescent="0.25">
      <c r="A14417" s="5">
        <f>14409</f>
      </c>
      <c r="B14417" s="5" t="s">
        <v>13688</v>
      </c>
      <c r="C14417" s="5" t="s">
        <v>11</v>
      </c>
      <c r="D14417" s="5" t="s">
        <v>12</v>
      </c>
      <c r="E14417" s="5" t="s">
        <v>2249</v>
      </c>
    </row>
    <row r="14418" spans="1:5" x14ac:dyDescent="0.25">
      <c r="A14418" s="5">
        <f>14410</f>
      </c>
      <c r="B14418" s="5" t="s">
        <v>13689</v>
      </c>
      <c r="C14418" s="5" t="s">
        <v>11</v>
      </c>
      <c r="D14418" s="5" t="s">
        <v>12</v>
      </c>
      <c r="E14418" s="5" t="s">
        <v>3664</v>
      </c>
    </row>
    <row r="14419" spans="1:5" x14ac:dyDescent="0.25">
      <c r="A14419" s="5">
        <f>14411</f>
      </c>
      <c r="B14419" s="5" t="s">
        <v>13690</v>
      </c>
      <c r="C14419" s="5" t="s">
        <v>11</v>
      </c>
      <c r="D14419" s="5" t="s">
        <v>12</v>
      </c>
      <c r="E14419" s="5" t="s">
        <v>2645</v>
      </c>
    </row>
    <row r="14420" spans="1:5" x14ac:dyDescent="0.25">
      <c r="A14420" s="5">
        <f>14412</f>
      </c>
      <c r="B14420" s="5" t="s">
        <v>13691</v>
      </c>
      <c r="C14420" s="5" t="s">
        <v>11</v>
      </c>
      <c r="D14420" s="5" t="s">
        <v>12</v>
      </c>
      <c r="E14420" s="5" t="s">
        <v>3378</v>
      </c>
    </row>
    <row r="14421" spans="1:5" x14ac:dyDescent="0.25">
      <c r="A14421" s="5">
        <f>14413</f>
      </c>
      <c r="B14421" s="5" t="s">
        <v>13692</v>
      </c>
      <c r="C14421" s="5" t="s">
        <v>11</v>
      </c>
      <c r="D14421" s="5" t="s">
        <v>12</v>
      </c>
      <c r="E14421" s="5" t="s">
        <v>2343</v>
      </c>
    </row>
    <row r="14422" spans="1:5" x14ac:dyDescent="0.25">
      <c r="A14422" s="5">
        <f>14414</f>
      </c>
      <c r="B14422" s="5" t="s">
        <v>13693</v>
      </c>
      <c r="C14422" s="5" t="s">
        <v>11</v>
      </c>
      <c r="D14422" s="5" t="s">
        <v>12</v>
      </c>
      <c r="E14422" s="5" t="s">
        <v>2579</v>
      </c>
    </row>
    <row r="14423" spans="1:5" x14ac:dyDescent="0.25">
      <c r="A14423" s="5">
        <f>14415</f>
      </c>
      <c r="B14423" s="5" t="s">
        <v>13694</v>
      </c>
      <c r="C14423" s="5" t="s">
        <v>11</v>
      </c>
      <c r="D14423" s="5" t="s">
        <v>12</v>
      </c>
      <c r="E14423" s="5" t="s">
        <v>4075</v>
      </c>
    </row>
    <row r="14424" spans="1:5" x14ac:dyDescent="0.25">
      <c r="A14424" s="5">
        <f>14416</f>
      </c>
      <c r="B14424" s="5" t="s">
        <v>13695</v>
      </c>
      <c r="C14424" s="5" t="s">
        <v>11</v>
      </c>
      <c r="D14424" s="5" t="s">
        <v>12</v>
      </c>
      <c r="E14424" s="5" t="s">
        <v>10618</v>
      </c>
    </row>
    <row r="14425" spans="1:5" x14ac:dyDescent="0.25">
      <c r="A14425" s="5">
        <f>14417</f>
      </c>
      <c r="B14425" s="5" t="s">
        <v>13696</v>
      </c>
      <c r="C14425" s="5" t="s">
        <v>11</v>
      </c>
      <c r="D14425" s="5" t="s">
        <v>12</v>
      </c>
      <c r="E14425" s="5" t="s">
        <v>3488</v>
      </c>
    </row>
    <row r="14426" spans="1:5" x14ac:dyDescent="0.25">
      <c r="A14426" s="5">
        <f>14418</f>
      </c>
      <c r="B14426" s="5" t="s">
        <v>13697</v>
      </c>
      <c r="C14426" s="5" t="s">
        <v>11</v>
      </c>
      <c r="D14426" s="5" t="s">
        <v>12</v>
      </c>
      <c r="E14426" s="5" t="s">
        <v>828</v>
      </c>
    </row>
    <row r="14427" spans="1:5" x14ac:dyDescent="0.25">
      <c r="A14427" s="5">
        <f>14419</f>
      </c>
      <c r="B14427" s="5" t="s">
        <v>13698</v>
      </c>
      <c r="C14427" s="5" t="s">
        <v>11</v>
      </c>
      <c r="D14427" s="5" t="s">
        <v>12</v>
      </c>
      <c r="E14427" s="5" t="s">
        <v>9553</v>
      </c>
    </row>
    <row r="14428" spans="1:5" x14ac:dyDescent="0.25">
      <c r="A14428" s="5">
        <f>14420</f>
      </c>
      <c r="B14428" s="5" t="s">
        <v>13699</v>
      </c>
      <c r="C14428" s="5" t="s">
        <v>11</v>
      </c>
      <c r="D14428" s="5" t="s">
        <v>12</v>
      </c>
      <c r="E14428" s="5" t="s">
        <v>11438</v>
      </c>
    </row>
    <row r="14429" spans="1:5" x14ac:dyDescent="0.25">
      <c r="A14429" s="5">
        <f>14421</f>
      </c>
      <c r="B14429" s="5" t="s">
        <v>13700</v>
      </c>
      <c r="C14429" s="5" t="s">
        <v>11</v>
      </c>
      <c r="D14429" s="5" t="s">
        <v>12</v>
      </c>
      <c r="E14429" s="5" t="s">
        <v>2329</v>
      </c>
    </row>
    <row r="14430" spans="1:5" x14ac:dyDescent="0.25">
      <c r="A14430" s="5">
        <f>14422</f>
      </c>
      <c r="B14430" s="5" t="s">
        <v>13701</v>
      </c>
      <c r="C14430" s="5" t="s">
        <v>11</v>
      </c>
      <c r="D14430" s="5" t="s">
        <v>12</v>
      </c>
      <c r="E14430" s="5" t="s">
        <v>781</v>
      </c>
    </row>
    <row r="14431" spans="1:5" x14ac:dyDescent="0.25">
      <c r="A14431" s="5">
        <f>14423</f>
      </c>
      <c r="B14431" s="5" t="s">
        <v>13702</v>
      </c>
      <c r="C14431" s="5" t="s">
        <v>11</v>
      </c>
      <c r="D14431" s="5" t="s">
        <v>12</v>
      </c>
      <c r="E14431" s="5" t="s">
        <v>1067</v>
      </c>
    </row>
    <row r="14432" spans="1:5" x14ac:dyDescent="0.25">
      <c r="A14432" s="5">
        <f>14424</f>
      </c>
      <c r="B14432" s="5" t="s">
        <v>13703</v>
      </c>
      <c r="C14432" s="5" t="s">
        <v>11</v>
      </c>
      <c r="D14432" s="5" t="s">
        <v>12</v>
      </c>
      <c r="E14432" s="5" t="s">
        <v>3692</v>
      </c>
    </row>
    <row r="14433" spans="1:5" x14ac:dyDescent="0.25">
      <c r="A14433" s="5">
        <f>14425</f>
      </c>
      <c r="B14433" s="5" t="s">
        <v>13704</v>
      </c>
      <c r="C14433" s="5" t="s">
        <v>11</v>
      </c>
      <c r="D14433" s="5" t="s">
        <v>12</v>
      </c>
      <c r="E14433" s="5" t="s">
        <v>2844</v>
      </c>
    </row>
    <row r="14434" spans="1:5" x14ac:dyDescent="0.25">
      <c r="A14434" s="5">
        <f>14426</f>
      </c>
      <c r="B14434" s="5" t="s">
        <v>13705</v>
      </c>
      <c r="C14434" s="5" t="s">
        <v>11</v>
      </c>
      <c r="D14434" s="5" t="s">
        <v>12</v>
      </c>
      <c r="E14434" s="5" t="s">
        <v>2309</v>
      </c>
    </row>
    <row r="14435" spans="1:5" x14ac:dyDescent="0.25">
      <c r="A14435" s="5">
        <f>14427</f>
      </c>
      <c r="B14435" s="5" t="s">
        <v>13706</v>
      </c>
      <c r="C14435" s="5" t="s">
        <v>11</v>
      </c>
      <c r="D14435" s="5" t="s">
        <v>12</v>
      </c>
      <c r="E14435" s="5" t="s">
        <v>770</v>
      </c>
    </row>
    <row r="14436" spans="1:5" x14ac:dyDescent="0.25">
      <c r="A14436" s="5">
        <f>14428</f>
      </c>
      <c r="B14436" s="5" t="s">
        <v>13707</v>
      </c>
      <c r="C14436" s="5" t="s">
        <v>11</v>
      </c>
      <c r="D14436" s="5" t="s">
        <v>12</v>
      </c>
      <c r="E14436" s="5" t="s">
        <v>2592</v>
      </c>
    </row>
    <row r="14437" spans="1:5" x14ac:dyDescent="0.25">
      <c r="A14437" s="5">
        <f>14429</f>
      </c>
      <c r="B14437" s="5" t="s">
        <v>13708</v>
      </c>
      <c r="C14437" s="5" t="s">
        <v>11</v>
      </c>
      <c r="D14437" s="5" t="s">
        <v>12</v>
      </c>
      <c r="E14437" s="5" t="s">
        <v>3500</v>
      </c>
    </row>
    <row r="14438" spans="1:5" x14ac:dyDescent="0.25">
      <c r="A14438" s="5">
        <f>14430</f>
      </c>
      <c r="B14438" s="5" t="s">
        <v>13709</v>
      </c>
      <c r="C14438" s="5" t="s">
        <v>11</v>
      </c>
      <c r="D14438" s="5" t="s">
        <v>12</v>
      </c>
      <c r="E14438" s="5" t="s">
        <v>3500</v>
      </c>
    </row>
    <row r="14439" spans="1:5" x14ac:dyDescent="0.25">
      <c r="A14439" s="5">
        <f>14431</f>
      </c>
      <c r="B14439" s="5" t="s">
        <v>13710</v>
      </c>
      <c r="C14439" s="5" t="s">
        <v>11</v>
      </c>
      <c r="D14439" s="5" t="s">
        <v>12</v>
      </c>
      <c r="E14439" s="5" t="s">
        <v>2389</v>
      </c>
    </row>
    <row r="14440" spans="1:5" x14ac:dyDescent="0.25">
      <c r="A14440" s="5">
        <f>14432</f>
      </c>
      <c r="B14440" s="5" t="s">
        <v>13711</v>
      </c>
      <c r="C14440" s="5" t="s">
        <v>11</v>
      </c>
      <c r="D14440" s="5" t="s">
        <v>12</v>
      </c>
      <c r="E14440" s="5" t="s">
        <v>2389</v>
      </c>
    </row>
    <row r="14441" spans="1:5" x14ac:dyDescent="0.25">
      <c r="A14441" s="5">
        <f>14433</f>
      </c>
      <c r="B14441" s="5" t="s">
        <v>13712</v>
      </c>
      <c r="C14441" s="5" t="s">
        <v>11</v>
      </c>
      <c r="D14441" s="5" t="s">
        <v>12</v>
      </c>
      <c r="E14441" s="5" t="s">
        <v>2389</v>
      </c>
    </row>
    <row r="14442" spans="1:5" x14ac:dyDescent="0.25">
      <c r="A14442" s="5">
        <f>14434</f>
      </c>
      <c r="B14442" s="5" t="s">
        <v>13713</v>
      </c>
      <c r="C14442" s="5" t="s">
        <v>11</v>
      </c>
      <c r="D14442" s="5" t="s">
        <v>12</v>
      </c>
      <c r="E14442" s="5" t="s">
        <v>2389</v>
      </c>
    </row>
    <row r="14443" spans="1:5" x14ac:dyDescent="0.25">
      <c r="A14443" s="5">
        <f>14435</f>
      </c>
      <c r="B14443" s="5" t="s">
        <v>13714</v>
      </c>
      <c r="C14443" s="5" t="s">
        <v>11</v>
      </c>
      <c r="D14443" s="5" t="s">
        <v>12</v>
      </c>
      <c r="E14443" s="5" t="s">
        <v>2675</v>
      </c>
    </row>
    <row r="14444" spans="1:5" x14ac:dyDescent="0.25">
      <c r="A14444" s="5">
        <f>14436</f>
      </c>
      <c r="B14444" s="5" t="s">
        <v>13715</v>
      </c>
      <c r="C14444" s="5" t="s">
        <v>11</v>
      </c>
      <c r="D14444" s="5" t="s">
        <v>12</v>
      </c>
      <c r="E14444" s="5" t="s">
        <v>2675</v>
      </c>
    </row>
    <row r="14445" spans="1:5" x14ac:dyDescent="0.25">
      <c r="A14445" s="5">
        <f>14437</f>
      </c>
      <c r="B14445" s="5" t="s">
        <v>13716</v>
      </c>
      <c r="C14445" s="5" t="s">
        <v>11</v>
      </c>
      <c r="D14445" s="5" t="s">
        <v>12</v>
      </c>
      <c r="E14445" s="5" t="s">
        <v>2675</v>
      </c>
    </row>
    <row r="14446" spans="1:5" x14ac:dyDescent="0.25">
      <c r="A14446" s="5">
        <f>14438</f>
      </c>
      <c r="B14446" s="5" t="s">
        <v>13717</v>
      </c>
      <c r="C14446" s="5" t="s">
        <v>11</v>
      </c>
      <c r="D14446" s="5" t="s">
        <v>12</v>
      </c>
      <c r="E14446" s="5" t="s">
        <v>2675</v>
      </c>
    </row>
    <row r="14447" spans="1:5" x14ac:dyDescent="0.25">
      <c r="A14447" s="5">
        <f>14439</f>
      </c>
      <c r="B14447" s="5" t="s">
        <v>13718</v>
      </c>
      <c r="C14447" s="5" t="s">
        <v>11</v>
      </c>
      <c r="D14447" s="5" t="s">
        <v>12</v>
      </c>
      <c r="E14447" s="5" t="s">
        <v>2675</v>
      </c>
    </row>
    <row r="14448" spans="1:5" x14ac:dyDescent="0.25">
      <c r="A14448" s="5">
        <f>14440</f>
      </c>
      <c r="B14448" s="5" t="s">
        <v>13719</v>
      </c>
      <c r="C14448" s="5" t="s">
        <v>11</v>
      </c>
      <c r="D14448" s="5" t="s">
        <v>12</v>
      </c>
      <c r="E14448" s="5" t="s">
        <v>2675</v>
      </c>
    </row>
    <row r="14449" spans="1:5" x14ac:dyDescent="0.25">
      <c r="A14449" s="5">
        <f>14441</f>
      </c>
      <c r="B14449" s="5" t="s">
        <v>13720</v>
      </c>
      <c r="C14449" s="5" t="s">
        <v>11</v>
      </c>
      <c r="D14449" s="5" t="s">
        <v>12</v>
      </c>
      <c r="E14449" s="5" t="s">
        <v>2675</v>
      </c>
    </row>
    <row r="14450" spans="1:5" x14ac:dyDescent="0.25">
      <c r="A14450" s="5">
        <f>14442</f>
      </c>
      <c r="B14450" s="5" t="s">
        <v>13721</v>
      </c>
      <c r="C14450" s="5" t="s">
        <v>11</v>
      </c>
      <c r="D14450" s="5" t="s">
        <v>12</v>
      </c>
      <c r="E14450" s="5" t="s">
        <v>2675</v>
      </c>
    </row>
    <row r="14451" spans="1:5" x14ac:dyDescent="0.25">
      <c r="A14451" s="5">
        <f>14443</f>
      </c>
      <c r="B14451" s="5" t="s">
        <v>13722</v>
      </c>
      <c r="C14451" s="5" t="s">
        <v>11</v>
      </c>
      <c r="D14451" s="5" t="s">
        <v>12</v>
      </c>
      <c r="E14451" s="5" t="s">
        <v>2675</v>
      </c>
    </row>
    <row r="14452" spans="1:5" x14ac:dyDescent="0.25">
      <c r="A14452" s="5">
        <f>14444</f>
      </c>
      <c r="B14452" s="5" t="s">
        <v>13723</v>
      </c>
      <c r="C14452" s="5" t="s">
        <v>11</v>
      </c>
      <c r="D14452" s="5" t="s">
        <v>12</v>
      </c>
      <c r="E14452" s="5" t="s">
        <v>2675</v>
      </c>
    </row>
    <row r="14453" spans="1:5" x14ac:dyDescent="0.25">
      <c r="A14453" s="5">
        <f>14445</f>
      </c>
      <c r="B14453" s="5" t="s">
        <v>13724</v>
      </c>
      <c r="C14453" s="5" t="s">
        <v>11</v>
      </c>
      <c r="D14453" s="5" t="s">
        <v>12</v>
      </c>
      <c r="E14453" s="5" t="s">
        <v>2675</v>
      </c>
    </row>
    <row r="14454" spans="1:5" x14ac:dyDescent="0.25">
      <c r="A14454" s="5">
        <f>14446</f>
      </c>
      <c r="B14454" s="5" t="s">
        <v>13725</v>
      </c>
      <c r="C14454" s="5" t="s">
        <v>11</v>
      </c>
      <c r="D14454" s="5" t="s">
        <v>12</v>
      </c>
      <c r="E14454" s="5" t="s">
        <v>2675</v>
      </c>
    </row>
    <row r="14455" spans="1:5" x14ac:dyDescent="0.25">
      <c r="A14455" s="5">
        <f>14447</f>
      </c>
      <c r="B14455" s="5" t="s">
        <v>13726</v>
      </c>
      <c r="C14455" s="5" t="s">
        <v>11</v>
      </c>
      <c r="D14455" s="5" t="s">
        <v>12</v>
      </c>
      <c r="E14455" s="5" t="s">
        <v>2675</v>
      </c>
    </row>
    <row r="14456" spans="1:5" x14ac:dyDescent="0.25">
      <c r="A14456" s="5">
        <f>14448</f>
      </c>
      <c r="B14456" s="5" t="s">
        <v>13727</v>
      </c>
      <c r="C14456" s="5" t="s">
        <v>11</v>
      </c>
      <c r="D14456" s="5" t="s">
        <v>12</v>
      </c>
      <c r="E14456" s="5" t="s">
        <v>2675</v>
      </c>
    </row>
    <row r="14457" spans="1:5" x14ac:dyDescent="0.25">
      <c r="A14457" s="5">
        <f>14449</f>
      </c>
      <c r="B14457" s="5" t="s">
        <v>13728</v>
      </c>
      <c r="C14457" s="5" t="s">
        <v>11</v>
      </c>
      <c r="D14457" s="5" t="s">
        <v>12</v>
      </c>
      <c r="E14457" s="5" t="s">
        <v>2675</v>
      </c>
    </row>
    <row r="14458" spans="1:5" x14ac:dyDescent="0.25">
      <c r="A14458" s="5">
        <f>14450</f>
      </c>
      <c r="B14458" s="5" t="s">
        <v>13729</v>
      </c>
      <c r="C14458" s="5" t="s">
        <v>11</v>
      </c>
      <c r="D14458" s="5" t="s">
        <v>12</v>
      </c>
      <c r="E14458" s="5" t="s">
        <v>2675</v>
      </c>
    </row>
    <row r="14459" spans="1:5" x14ac:dyDescent="0.25">
      <c r="A14459" s="5">
        <f>14451</f>
      </c>
      <c r="B14459" s="5" t="s">
        <v>13730</v>
      </c>
      <c r="C14459" s="5" t="s">
        <v>11</v>
      </c>
      <c r="D14459" s="5" t="s">
        <v>12</v>
      </c>
      <c r="E14459" s="5" t="s">
        <v>2675</v>
      </c>
    </row>
    <row r="14460" spans="1:5" x14ac:dyDescent="0.25">
      <c r="A14460" s="5">
        <f>14452</f>
      </c>
      <c r="B14460" s="5" t="s">
        <v>13731</v>
      </c>
      <c r="C14460" s="5" t="s">
        <v>11</v>
      </c>
      <c r="D14460" s="5" t="s">
        <v>12</v>
      </c>
      <c r="E14460" s="5" t="s">
        <v>2675</v>
      </c>
    </row>
    <row r="14461" spans="1:5" x14ac:dyDescent="0.25">
      <c r="A14461" s="5">
        <f>14453</f>
      </c>
      <c r="B14461" s="5" t="s">
        <v>13732</v>
      </c>
      <c r="C14461" s="5" t="s">
        <v>11</v>
      </c>
      <c r="D14461" s="5" t="s">
        <v>12</v>
      </c>
      <c r="E14461" s="5" t="s">
        <v>2675</v>
      </c>
    </row>
    <row r="14462" spans="1:5" x14ac:dyDescent="0.25">
      <c r="A14462" s="5">
        <f>14454</f>
      </c>
      <c r="B14462" s="5" t="s">
        <v>13733</v>
      </c>
      <c r="C14462" s="5" t="s">
        <v>11</v>
      </c>
      <c r="D14462" s="5" t="s">
        <v>12</v>
      </c>
      <c r="E14462" s="5" t="s">
        <v>2675</v>
      </c>
    </row>
    <row r="14463" spans="1:5" x14ac:dyDescent="0.25">
      <c r="A14463" s="5">
        <f>14455</f>
      </c>
      <c r="B14463" s="5" t="s">
        <v>13734</v>
      </c>
      <c r="C14463" s="5" t="s">
        <v>11</v>
      </c>
      <c r="D14463" s="5" t="s">
        <v>12</v>
      </c>
      <c r="E14463" s="5" t="s">
        <v>2675</v>
      </c>
    </row>
    <row r="14464" spans="1:5" x14ac:dyDescent="0.25">
      <c r="A14464" s="5">
        <f>14456</f>
      </c>
      <c r="B14464" s="5" t="s">
        <v>13735</v>
      </c>
      <c r="C14464" s="5" t="s">
        <v>11</v>
      </c>
      <c r="D14464" s="5" t="s">
        <v>12</v>
      </c>
      <c r="E14464" s="5" t="s">
        <v>2675</v>
      </c>
    </row>
    <row r="14465" spans="1:5" x14ac:dyDescent="0.25">
      <c r="A14465" s="5">
        <f>14457</f>
      </c>
      <c r="B14465" s="5" t="s">
        <v>13736</v>
      </c>
      <c r="C14465" s="5" t="s">
        <v>11</v>
      </c>
      <c r="D14465" s="5" t="s">
        <v>12</v>
      </c>
      <c r="E14465" s="5" t="s">
        <v>2675</v>
      </c>
    </row>
    <row r="14466" spans="1:5" x14ac:dyDescent="0.25">
      <c r="A14466" s="5">
        <f>14458</f>
      </c>
      <c r="B14466" s="5" t="s">
        <v>13737</v>
      </c>
      <c r="C14466" s="5" t="s">
        <v>11</v>
      </c>
      <c r="D14466" s="5" t="s">
        <v>12</v>
      </c>
      <c r="E14466" s="5" t="s">
        <v>2675</v>
      </c>
    </row>
    <row r="14467" spans="1:5" x14ac:dyDescent="0.25">
      <c r="A14467" s="5">
        <f>14459</f>
      </c>
      <c r="B14467" s="5" t="s">
        <v>13738</v>
      </c>
      <c r="C14467" s="5" t="s">
        <v>11</v>
      </c>
      <c r="D14467" s="5" t="s">
        <v>12</v>
      </c>
      <c r="E14467" s="5" t="s">
        <v>10562</v>
      </c>
    </row>
    <row r="14468" spans="1:5" x14ac:dyDescent="0.25">
      <c r="A14468" s="5">
        <f>14460</f>
      </c>
      <c r="B14468" s="5" t="s">
        <v>13739</v>
      </c>
      <c r="C14468" s="5" t="s">
        <v>11</v>
      </c>
      <c r="D14468" s="5" t="s">
        <v>12</v>
      </c>
      <c r="E14468" s="5" t="s">
        <v>2304</v>
      </c>
    </row>
    <row r="14469" spans="1:5" x14ac:dyDescent="0.25">
      <c r="A14469" s="5">
        <f>14461</f>
      </c>
      <c r="B14469" s="5" t="s">
        <v>13740</v>
      </c>
      <c r="C14469" s="5" t="s">
        <v>11</v>
      </c>
      <c r="D14469" s="5" t="s">
        <v>12</v>
      </c>
      <c r="E14469" s="5" t="s">
        <v>3386</v>
      </c>
    </row>
    <row r="14470" spans="1:5" x14ac:dyDescent="0.25">
      <c r="A14470" s="5">
        <f>14462</f>
      </c>
      <c r="B14470" s="5" t="s">
        <v>13741</v>
      </c>
      <c r="C14470" s="5" t="s">
        <v>11</v>
      </c>
      <c r="D14470" s="5" t="s">
        <v>12</v>
      </c>
      <c r="E14470" s="5" t="s">
        <v>843</v>
      </c>
    </row>
    <row r="14471" spans="1:5" x14ac:dyDescent="0.25">
      <c r="A14471" s="5">
        <f>14463</f>
      </c>
      <c r="B14471" s="5" t="s">
        <v>13742</v>
      </c>
      <c r="C14471" s="5" t="s">
        <v>11</v>
      </c>
      <c r="D14471" s="5" t="s">
        <v>12</v>
      </c>
      <c r="E14471" s="5" t="s">
        <v>843</v>
      </c>
    </row>
    <row r="14472" spans="1:5" x14ac:dyDescent="0.25">
      <c r="A14472" s="5">
        <f>14464</f>
      </c>
      <c r="B14472" s="5" t="s">
        <v>13743</v>
      </c>
      <c r="C14472" s="5" t="s">
        <v>11</v>
      </c>
      <c r="D14472" s="5" t="s">
        <v>12</v>
      </c>
      <c r="E14472" s="5" t="s">
        <v>2333</v>
      </c>
    </row>
    <row r="14473" spans="1:5" x14ac:dyDescent="0.25">
      <c r="A14473" s="5">
        <f>14465</f>
      </c>
      <c r="B14473" s="5" t="s">
        <v>13744</v>
      </c>
      <c r="C14473" s="5" t="s">
        <v>11</v>
      </c>
      <c r="D14473" s="5" t="s">
        <v>12</v>
      </c>
      <c r="E14473" s="5" t="s">
        <v>3586</v>
      </c>
    </row>
    <row r="14474" spans="1:5" x14ac:dyDescent="0.25">
      <c r="A14474" s="5">
        <f>14466</f>
      </c>
      <c r="B14474" s="5" t="s">
        <v>13745</v>
      </c>
      <c r="C14474" s="5" t="s">
        <v>11</v>
      </c>
      <c r="D14474" s="5" t="s">
        <v>12</v>
      </c>
      <c r="E14474" s="5" t="s">
        <v>849</v>
      </c>
    </row>
    <row r="14475" spans="1:5" x14ac:dyDescent="0.25">
      <c r="A14475" s="5">
        <f>14467</f>
      </c>
      <c r="B14475" s="5" t="s">
        <v>13746</v>
      </c>
      <c r="C14475" s="5" t="s">
        <v>11</v>
      </c>
      <c r="D14475" s="5" t="s">
        <v>12</v>
      </c>
      <c r="E14475" s="5" t="s">
        <v>3692</v>
      </c>
    </row>
    <row r="14476" spans="1:5" x14ac:dyDescent="0.25">
      <c r="A14476" s="5">
        <f>14468</f>
      </c>
      <c r="B14476" s="5" t="s">
        <v>13747</v>
      </c>
      <c r="C14476" s="5" t="s">
        <v>11</v>
      </c>
      <c r="D14476" s="5" t="s">
        <v>12</v>
      </c>
      <c r="E14476" s="5" t="s">
        <v>885</v>
      </c>
    </row>
    <row r="14477" spans="1:5" x14ac:dyDescent="0.25">
      <c r="A14477" s="5">
        <f>14469</f>
      </c>
      <c r="B14477" s="5" t="s">
        <v>13748</v>
      </c>
      <c r="C14477" s="5" t="s">
        <v>11</v>
      </c>
      <c r="D14477" s="5" t="s">
        <v>12</v>
      </c>
      <c r="E14477" s="5" t="s">
        <v>3433</v>
      </c>
    </row>
    <row r="14478" spans="1:5" x14ac:dyDescent="0.25">
      <c r="A14478" s="5">
        <f>14470</f>
      </c>
      <c r="B14478" s="5" t="s">
        <v>13749</v>
      </c>
      <c r="C14478" s="5" t="s">
        <v>11</v>
      </c>
      <c r="D14478" s="5" t="s">
        <v>12</v>
      </c>
      <c r="E14478" s="5" t="s">
        <v>3496</v>
      </c>
    </row>
    <row r="14479" spans="1:5" x14ac:dyDescent="0.25">
      <c r="A14479" s="5">
        <f>14471</f>
      </c>
      <c r="B14479" s="5" t="s">
        <v>13750</v>
      </c>
      <c r="C14479" s="5" t="s">
        <v>11</v>
      </c>
      <c r="D14479" s="5" t="s">
        <v>12</v>
      </c>
      <c r="E14479" s="5" t="s">
        <v>2285</v>
      </c>
    </row>
    <row r="14480" spans="1:5" x14ac:dyDescent="0.25">
      <c r="A14480" s="5">
        <f>14472</f>
      </c>
      <c r="B14480" s="5" t="s">
        <v>13751</v>
      </c>
      <c r="C14480" s="5" t="s">
        <v>11</v>
      </c>
      <c r="D14480" s="5" t="s">
        <v>12</v>
      </c>
      <c r="E14480" s="5" t="s">
        <v>2343</v>
      </c>
    </row>
    <row r="14481" spans="1:5" x14ac:dyDescent="0.25">
      <c r="A14481" s="5">
        <f>14473</f>
      </c>
      <c r="B14481" s="5" t="s">
        <v>13752</v>
      </c>
      <c r="C14481" s="5" t="s">
        <v>11</v>
      </c>
      <c r="D14481" s="5" t="s">
        <v>12</v>
      </c>
      <c r="E14481" s="5" t="s">
        <v>828</v>
      </c>
    </row>
    <row r="14482" spans="1:5" x14ac:dyDescent="0.25">
      <c r="A14482" s="5">
        <f>14474</f>
      </c>
      <c r="B14482" s="5" t="s">
        <v>13753</v>
      </c>
      <c r="C14482" s="5" t="s">
        <v>11</v>
      </c>
      <c r="D14482" s="5" t="s">
        <v>12</v>
      </c>
      <c r="E14482" s="5" t="s">
        <v>2265</v>
      </c>
    </row>
    <row r="14483" spans="1:5" x14ac:dyDescent="0.25">
      <c r="A14483" s="5">
        <f>14475</f>
      </c>
      <c r="B14483" s="5" t="s">
        <v>13754</v>
      </c>
      <c r="C14483" s="5" t="s">
        <v>11</v>
      </c>
      <c r="D14483" s="5" t="s">
        <v>12</v>
      </c>
      <c r="E14483" s="5" t="s">
        <v>2265</v>
      </c>
    </row>
    <row r="14484" spans="1:5" x14ac:dyDescent="0.25">
      <c r="A14484" s="5">
        <f>14476</f>
      </c>
      <c r="B14484" s="5" t="s">
        <v>13755</v>
      </c>
      <c r="C14484" s="5" t="s">
        <v>11</v>
      </c>
      <c r="D14484" s="5" t="s">
        <v>12</v>
      </c>
      <c r="E14484" s="5" t="s">
        <v>2265</v>
      </c>
    </row>
    <row r="14485" spans="1:5" x14ac:dyDescent="0.25">
      <c r="A14485" s="5">
        <f>14477</f>
      </c>
      <c r="B14485" s="5" t="s">
        <v>13756</v>
      </c>
      <c r="C14485" s="5" t="s">
        <v>11</v>
      </c>
      <c r="D14485" s="5" t="s">
        <v>12</v>
      </c>
      <c r="E14485" s="5" t="s">
        <v>10843</v>
      </c>
    </row>
    <row r="14486" spans="1:5" x14ac:dyDescent="0.25">
      <c r="A14486" s="5">
        <f>14478</f>
      </c>
      <c r="B14486" s="5" t="s">
        <v>13757</v>
      </c>
      <c r="C14486" s="5" t="s">
        <v>11</v>
      </c>
      <c r="D14486" s="5" t="s">
        <v>12</v>
      </c>
      <c r="E14486" s="5" t="s">
        <v>959</v>
      </c>
    </row>
    <row r="14487" spans="1:5" x14ac:dyDescent="0.25">
      <c r="A14487" s="5">
        <f>14479</f>
      </c>
      <c r="B14487" s="5" t="s">
        <v>13758</v>
      </c>
      <c r="C14487" s="5" t="s">
        <v>11</v>
      </c>
      <c r="D14487" s="5" t="s">
        <v>12</v>
      </c>
      <c r="E14487" s="5" t="s">
        <v>2381</v>
      </c>
    </row>
    <row r="14488" spans="1:5" x14ac:dyDescent="0.25">
      <c r="A14488" s="5">
        <f>14480</f>
      </c>
      <c r="B14488" s="5" t="s">
        <v>13759</v>
      </c>
      <c r="C14488" s="5" t="s">
        <v>11</v>
      </c>
      <c r="D14488" s="5" t="s">
        <v>12</v>
      </c>
      <c r="E14488" s="5" t="s">
        <v>2381</v>
      </c>
    </row>
    <row r="14489" spans="1:5" x14ac:dyDescent="0.25">
      <c r="A14489" s="5">
        <f>14481</f>
      </c>
      <c r="B14489" s="5" t="s">
        <v>13760</v>
      </c>
      <c r="C14489" s="5" t="s">
        <v>11</v>
      </c>
      <c r="D14489" s="5" t="s">
        <v>12</v>
      </c>
      <c r="E14489" s="5" t="s">
        <v>732</v>
      </c>
    </row>
    <row r="14490" spans="1:5" x14ac:dyDescent="0.25">
      <c r="A14490" s="5">
        <f>14482</f>
      </c>
      <c r="B14490" s="5" t="s">
        <v>13761</v>
      </c>
      <c r="C14490" s="5" t="s">
        <v>11</v>
      </c>
      <c r="D14490" s="5" t="s">
        <v>12</v>
      </c>
      <c r="E14490" s="5" t="s">
        <v>784</v>
      </c>
    </row>
    <row r="14491" spans="1:5" x14ac:dyDescent="0.25">
      <c r="A14491" s="5">
        <f>14483</f>
      </c>
      <c r="B14491" s="5" t="s">
        <v>13762</v>
      </c>
      <c r="C14491" s="5" t="s">
        <v>11</v>
      </c>
      <c r="D14491" s="5" t="s">
        <v>12</v>
      </c>
      <c r="E14491" s="5" t="s">
        <v>2622</v>
      </c>
    </row>
    <row r="14492" spans="1:5" x14ac:dyDescent="0.25">
      <c r="A14492" s="5">
        <f>14484</f>
      </c>
      <c r="B14492" s="5" t="s">
        <v>13763</v>
      </c>
      <c r="C14492" s="5" t="s">
        <v>11</v>
      </c>
      <c r="D14492" s="5" t="s">
        <v>12</v>
      </c>
      <c r="E14492" s="5" t="s">
        <v>2333</v>
      </c>
    </row>
    <row r="14493" spans="1:5" x14ac:dyDescent="0.25">
      <c r="A14493" s="5">
        <f>14485</f>
      </c>
      <c r="B14493" s="5" t="s">
        <v>13764</v>
      </c>
      <c r="C14493" s="5" t="s">
        <v>11</v>
      </c>
      <c r="D14493" s="5" t="s">
        <v>12</v>
      </c>
      <c r="E14493" s="5" t="s">
        <v>2322</v>
      </c>
    </row>
    <row r="14494" spans="1:5" x14ac:dyDescent="0.25">
      <c r="A14494" s="5">
        <f>14486</f>
      </c>
      <c r="B14494" s="5" t="s">
        <v>13765</v>
      </c>
      <c r="C14494" s="5" t="s">
        <v>11</v>
      </c>
      <c r="D14494" s="5" t="s">
        <v>12</v>
      </c>
      <c r="E14494" s="5" t="s">
        <v>3924</v>
      </c>
    </row>
    <row r="14495" spans="1:5" x14ac:dyDescent="0.25">
      <c r="A14495" s="5">
        <f>14487</f>
      </c>
      <c r="B14495" s="5" t="s">
        <v>13766</v>
      </c>
      <c r="C14495" s="5" t="s">
        <v>11</v>
      </c>
      <c r="D14495" s="5" t="s">
        <v>12</v>
      </c>
      <c r="E14495" s="5" t="s">
        <v>832</v>
      </c>
    </row>
    <row r="14496" spans="1:5" x14ac:dyDescent="0.25">
      <c r="A14496" s="5">
        <f>14488</f>
      </c>
      <c r="B14496" s="5" t="s">
        <v>13767</v>
      </c>
      <c r="C14496" s="5" t="s">
        <v>11</v>
      </c>
      <c r="D14496" s="5" t="s">
        <v>12</v>
      </c>
      <c r="E14496" s="5" t="s">
        <v>832</v>
      </c>
    </row>
    <row r="14497" spans="1:5" x14ac:dyDescent="0.25">
      <c r="A14497" s="5">
        <f>14489</f>
      </c>
      <c r="B14497" s="5" t="s">
        <v>13768</v>
      </c>
      <c r="C14497" s="5" t="s">
        <v>11</v>
      </c>
      <c r="D14497" s="5" t="s">
        <v>12</v>
      </c>
      <c r="E14497" s="5" t="s">
        <v>832</v>
      </c>
    </row>
    <row r="14498" spans="1:5" x14ac:dyDescent="0.25">
      <c r="A14498" s="5">
        <f>14490</f>
      </c>
      <c r="B14498" s="5" t="s">
        <v>13769</v>
      </c>
      <c r="C14498" s="5" t="s">
        <v>11</v>
      </c>
      <c r="D14498" s="5" t="s">
        <v>12</v>
      </c>
      <c r="E14498" s="5" t="s">
        <v>832</v>
      </c>
    </row>
    <row r="14499" spans="1:5" x14ac:dyDescent="0.25">
      <c r="A14499" s="5">
        <f>14491</f>
      </c>
      <c r="B14499" s="5" t="s">
        <v>13770</v>
      </c>
      <c r="C14499" s="5" t="s">
        <v>11</v>
      </c>
      <c r="D14499" s="5" t="s">
        <v>12</v>
      </c>
      <c r="E14499" s="5" t="s">
        <v>832</v>
      </c>
    </row>
    <row r="14500" spans="1:5" x14ac:dyDescent="0.25">
      <c r="A14500" s="5">
        <f>14492</f>
      </c>
      <c r="B14500" s="5" t="s">
        <v>13771</v>
      </c>
      <c r="C14500" s="5" t="s">
        <v>11</v>
      </c>
      <c r="D14500" s="5" t="s">
        <v>12</v>
      </c>
      <c r="E14500" s="5" t="s">
        <v>832</v>
      </c>
    </row>
    <row r="14501" spans="1:5" x14ac:dyDescent="0.25">
      <c r="A14501" s="5">
        <f>14493</f>
      </c>
      <c r="B14501" s="5" t="s">
        <v>13772</v>
      </c>
      <c r="C14501" s="5" t="s">
        <v>11</v>
      </c>
      <c r="D14501" s="5" t="s">
        <v>12</v>
      </c>
      <c r="E14501" s="5" t="s">
        <v>832</v>
      </c>
    </row>
    <row r="14502" spans="1:5" x14ac:dyDescent="0.25">
      <c r="A14502" s="5">
        <f>14494</f>
      </c>
      <c r="B14502" s="5" t="s">
        <v>13773</v>
      </c>
      <c r="C14502" s="5" t="s">
        <v>11</v>
      </c>
      <c r="D14502" s="5" t="s">
        <v>12</v>
      </c>
      <c r="E14502" s="5" t="s">
        <v>832</v>
      </c>
    </row>
    <row r="14503" spans="1:5" x14ac:dyDescent="0.25">
      <c r="A14503" s="5">
        <f>14495</f>
      </c>
      <c r="B14503" s="5" t="s">
        <v>13774</v>
      </c>
      <c r="C14503" s="5" t="s">
        <v>11</v>
      </c>
      <c r="D14503" s="5" t="s">
        <v>12</v>
      </c>
      <c r="E14503" s="5" t="s">
        <v>832</v>
      </c>
    </row>
    <row r="14504" spans="1:5" x14ac:dyDescent="0.25">
      <c r="A14504" s="5">
        <f>14496</f>
      </c>
      <c r="B14504" s="5" t="s">
        <v>13775</v>
      </c>
      <c r="C14504" s="5" t="s">
        <v>11</v>
      </c>
      <c r="D14504" s="5" t="s">
        <v>12</v>
      </c>
      <c r="E14504" s="5" t="s">
        <v>832</v>
      </c>
    </row>
    <row r="14505" spans="1:5" x14ac:dyDescent="0.25">
      <c r="A14505" s="5">
        <f>14497</f>
      </c>
      <c r="B14505" s="5" t="s">
        <v>13776</v>
      </c>
      <c r="C14505" s="5" t="s">
        <v>11</v>
      </c>
      <c r="D14505" s="5" t="s">
        <v>12</v>
      </c>
      <c r="E14505" s="5" t="s">
        <v>832</v>
      </c>
    </row>
    <row r="14506" spans="1:5" x14ac:dyDescent="0.25">
      <c r="A14506" s="5">
        <f>14498</f>
      </c>
      <c r="B14506" s="5" t="s">
        <v>13777</v>
      </c>
      <c r="C14506" s="5" t="s">
        <v>11</v>
      </c>
      <c r="D14506" s="5" t="s">
        <v>12</v>
      </c>
      <c r="E14506" s="5" t="s">
        <v>832</v>
      </c>
    </row>
    <row r="14507" spans="1:5" x14ac:dyDescent="0.25">
      <c r="A14507" s="5">
        <f>14499</f>
      </c>
      <c r="B14507" s="5" t="s">
        <v>13778</v>
      </c>
      <c r="C14507" s="5" t="s">
        <v>11</v>
      </c>
      <c r="D14507" s="5" t="s">
        <v>12</v>
      </c>
      <c r="E14507" s="5" t="s">
        <v>832</v>
      </c>
    </row>
    <row r="14508" spans="1:5" x14ac:dyDescent="0.25">
      <c r="A14508" s="5">
        <f>14500</f>
      </c>
      <c r="B14508" s="5" t="s">
        <v>13779</v>
      </c>
      <c r="C14508" s="5" t="s">
        <v>11</v>
      </c>
      <c r="D14508" s="5" t="s">
        <v>12</v>
      </c>
      <c r="E14508" s="5" t="s">
        <v>832</v>
      </c>
    </row>
    <row r="14509" spans="1:5" x14ac:dyDescent="0.25">
      <c r="A14509" s="5">
        <f>14501</f>
      </c>
      <c r="B14509" s="5" t="s">
        <v>13780</v>
      </c>
      <c r="C14509" s="5" t="s">
        <v>11</v>
      </c>
      <c r="D14509" s="5" t="s">
        <v>12</v>
      </c>
      <c r="E14509" s="5" t="s">
        <v>832</v>
      </c>
    </row>
    <row r="14510" spans="1:5" x14ac:dyDescent="0.25">
      <c r="A14510" s="5">
        <f>14502</f>
      </c>
      <c r="B14510" s="5" t="s">
        <v>13781</v>
      </c>
      <c r="C14510" s="5" t="s">
        <v>11</v>
      </c>
      <c r="D14510" s="5" t="s">
        <v>12</v>
      </c>
      <c r="E14510" s="5" t="s">
        <v>832</v>
      </c>
    </row>
    <row r="14511" spans="1:5" x14ac:dyDescent="0.25">
      <c r="A14511" s="5">
        <f>14503</f>
      </c>
      <c r="B14511" s="5" t="s">
        <v>13782</v>
      </c>
      <c r="C14511" s="5" t="s">
        <v>11</v>
      </c>
      <c r="D14511" s="5" t="s">
        <v>12</v>
      </c>
      <c r="E14511" s="5" t="s">
        <v>832</v>
      </c>
    </row>
    <row r="14512" spans="1:5" x14ac:dyDescent="0.25">
      <c r="A14512" s="5">
        <f>14504</f>
      </c>
      <c r="B14512" s="5" t="s">
        <v>13783</v>
      </c>
      <c r="C14512" s="5" t="s">
        <v>11</v>
      </c>
      <c r="D14512" s="5" t="s">
        <v>12</v>
      </c>
      <c r="E14512" s="5" t="s">
        <v>832</v>
      </c>
    </row>
    <row r="14513" spans="1:5" x14ac:dyDescent="0.25">
      <c r="A14513" s="5">
        <f>14505</f>
      </c>
      <c r="B14513" s="5" t="s">
        <v>13784</v>
      </c>
      <c r="C14513" s="5" t="s">
        <v>11</v>
      </c>
      <c r="D14513" s="5" t="s">
        <v>12</v>
      </c>
      <c r="E14513" s="5" t="s">
        <v>832</v>
      </c>
    </row>
    <row r="14514" spans="1:5" x14ac:dyDescent="0.25">
      <c r="A14514" s="5">
        <f>14506</f>
      </c>
      <c r="B14514" s="5" t="s">
        <v>13785</v>
      </c>
      <c r="C14514" s="5" t="s">
        <v>11</v>
      </c>
      <c r="D14514" s="5" t="s">
        <v>12</v>
      </c>
      <c r="E14514" s="5" t="s">
        <v>832</v>
      </c>
    </row>
    <row r="14515" spans="1:5" x14ac:dyDescent="0.25">
      <c r="A14515" s="5">
        <f>14507</f>
      </c>
      <c r="B14515" s="5" t="s">
        <v>13786</v>
      </c>
      <c r="C14515" s="5" t="s">
        <v>11</v>
      </c>
      <c r="D14515" s="5" t="s">
        <v>12</v>
      </c>
      <c r="E14515" s="5" t="s">
        <v>832</v>
      </c>
    </row>
    <row r="14516" spans="1:5" x14ac:dyDescent="0.25">
      <c r="A14516" s="5">
        <f>14508</f>
      </c>
      <c r="B14516" s="5" t="s">
        <v>13787</v>
      </c>
      <c r="C14516" s="5" t="s">
        <v>11</v>
      </c>
      <c r="D14516" s="5" t="s">
        <v>12</v>
      </c>
      <c r="E14516" s="5" t="s">
        <v>832</v>
      </c>
    </row>
    <row r="14517" spans="1:5" x14ac:dyDescent="0.25">
      <c r="A14517" s="5">
        <f>14509</f>
      </c>
      <c r="B14517" s="5" t="s">
        <v>13788</v>
      </c>
      <c r="C14517" s="5" t="s">
        <v>11</v>
      </c>
      <c r="D14517" s="5" t="s">
        <v>12</v>
      </c>
      <c r="E14517" s="5" t="s">
        <v>832</v>
      </c>
    </row>
    <row r="14518" spans="1:5" x14ac:dyDescent="0.25">
      <c r="A14518" s="5">
        <f>14510</f>
      </c>
      <c r="B14518" s="5" t="s">
        <v>13789</v>
      </c>
      <c r="C14518" s="5" t="s">
        <v>11</v>
      </c>
      <c r="D14518" s="5" t="s">
        <v>12</v>
      </c>
      <c r="E14518" s="5" t="s">
        <v>832</v>
      </c>
    </row>
    <row r="14519" spans="1:5" x14ac:dyDescent="0.25">
      <c r="A14519" s="5">
        <f>14511</f>
      </c>
      <c r="B14519" s="5" t="s">
        <v>13790</v>
      </c>
      <c r="C14519" s="5" t="s">
        <v>11</v>
      </c>
      <c r="D14519" s="5" t="s">
        <v>12</v>
      </c>
      <c r="E14519" s="5" t="s">
        <v>832</v>
      </c>
    </row>
    <row r="14520" spans="1:5" x14ac:dyDescent="0.25">
      <c r="A14520" s="5">
        <f>14512</f>
      </c>
      <c r="B14520" s="5" t="s">
        <v>13791</v>
      </c>
      <c r="C14520" s="5" t="s">
        <v>11</v>
      </c>
      <c r="D14520" s="5" t="s">
        <v>12</v>
      </c>
      <c r="E14520" s="5" t="s">
        <v>832</v>
      </c>
    </row>
    <row r="14521" spans="1:5" x14ac:dyDescent="0.25">
      <c r="A14521" s="5">
        <f>14513</f>
      </c>
      <c r="B14521" s="5" t="s">
        <v>13792</v>
      </c>
      <c r="C14521" s="5" t="s">
        <v>11</v>
      </c>
      <c r="D14521" s="5" t="s">
        <v>12</v>
      </c>
      <c r="E14521" s="5" t="s">
        <v>832</v>
      </c>
    </row>
    <row r="14522" spans="1:5" x14ac:dyDescent="0.25">
      <c r="A14522" s="5">
        <f>14514</f>
      </c>
      <c r="B14522" s="5" t="s">
        <v>13793</v>
      </c>
      <c r="C14522" s="5" t="s">
        <v>11</v>
      </c>
      <c r="D14522" s="5" t="s">
        <v>12</v>
      </c>
      <c r="E14522" s="5" t="s">
        <v>832</v>
      </c>
    </row>
    <row r="14523" spans="1:5" x14ac:dyDescent="0.25">
      <c r="A14523" s="5">
        <f>14515</f>
      </c>
      <c r="B14523" s="5" t="s">
        <v>13794</v>
      </c>
      <c r="C14523" s="5" t="s">
        <v>11</v>
      </c>
      <c r="D14523" s="5" t="s">
        <v>12</v>
      </c>
      <c r="E14523" s="5" t="s">
        <v>832</v>
      </c>
    </row>
    <row r="14524" spans="1:5" x14ac:dyDescent="0.25">
      <c r="A14524" s="5">
        <f>14516</f>
      </c>
      <c r="B14524" s="5" t="s">
        <v>13795</v>
      </c>
      <c r="C14524" s="5" t="s">
        <v>11</v>
      </c>
      <c r="D14524" s="5" t="s">
        <v>12</v>
      </c>
      <c r="E14524" s="5" t="s">
        <v>832</v>
      </c>
    </row>
    <row r="14525" spans="1:5" x14ac:dyDescent="0.25">
      <c r="A14525" s="5">
        <f>14517</f>
      </c>
      <c r="B14525" s="5" t="s">
        <v>13796</v>
      </c>
      <c r="C14525" s="5" t="s">
        <v>11</v>
      </c>
      <c r="D14525" s="5" t="s">
        <v>12</v>
      </c>
      <c r="E14525" s="5" t="s">
        <v>832</v>
      </c>
    </row>
    <row r="14526" spans="1:5" x14ac:dyDescent="0.25">
      <c r="A14526" s="5">
        <f>14518</f>
      </c>
      <c r="B14526" s="5" t="s">
        <v>13797</v>
      </c>
      <c r="C14526" s="5" t="s">
        <v>11</v>
      </c>
      <c r="D14526" s="5" t="s">
        <v>12</v>
      </c>
      <c r="E14526" s="5" t="s">
        <v>832</v>
      </c>
    </row>
    <row r="14527" spans="1:5" x14ac:dyDescent="0.25">
      <c r="A14527" s="5">
        <f>14519</f>
      </c>
      <c r="B14527" s="5" t="s">
        <v>13798</v>
      </c>
      <c r="C14527" s="5" t="s">
        <v>11</v>
      </c>
      <c r="D14527" s="5" t="s">
        <v>12</v>
      </c>
      <c r="E14527" s="5" t="s">
        <v>832</v>
      </c>
    </row>
    <row r="14528" spans="1:5" x14ac:dyDescent="0.25">
      <c r="A14528" s="5">
        <f>14520</f>
      </c>
      <c r="B14528" s="5" t="s">
        <v>13799</v>
      </c>
      <c r="C14528" s="5" t="s">
        <v>11</v>
      </c>
      <c r="D14528" s="5" t="s">
        <v>12</v>
      </c>
      <c r="E14528" s="5" t="s">
        <v>832</v>
      </c>
    </row>
    <row r="14529" spans="1:5" x14ac:dyDescent="0.25">
      <c r="A14529" s="5">
        <f>14521</f>
      </c>
      <c r="B14529" s="5" t="s">
        <v>13800</v>
      </c>
      <c r="C14529" s="5" t="s">
        <v>11</v>
      </c>
      <c r="D14529" s="5" t="s">
        <v>12</v>
      </c>
      <c r="E14529" s="5" t="s">
        <v>3962</v>
      </c>
    </row>
    <row r="14530" spans="1:5" x14ac:dyDescent="0.25">
      <c r="A14530" s="5">
        <f>14522</f>
      </c>
      <c r="B14530" s="5" t="s">
        <v>13801</v>
      </c>
      <c r="C14530" s="5" t="s">
        <v>11</v>
      </c>
      <c r="D14530" s="5" t="s">
        <v>12</v>
      </c>
      <c r="E14530" s="5" t="s">
        <v>924</v>
      </c>
    </row>
    <row r="14531" spans="1:5" x14ac:dyDescent="0.25">
      <c r="A14531" s="5">
        <f>14523</f>
      </c>
      <c r="B14531" s="5" t="s">
        <v>13802</v>
      </c>
      <c r="C14531" s="5" t="s">
        <v>11</v>
      </c>
      <c r="D14531" s="5" t="s">
        <v>12</v>
      </c>
      <c r="E14531" s="5" t="s">
        <v>2409</v>
      </c>
    </row>
    <row r="14532" spans="1:5" x14ac:dyDescent="0.25">
      <c r="A14532" s="5">
        <f>14524</f>
      </c>
      <c r="B14532" s="5" t="s">
        <v>13803</v>
      </c>
      <c r="C14532" s="5" t="s">
        <v>11</v>
      </c>
      <c r="D14532" s="5" t="s">
        <v>12</v>
      </c>
      <c r="E14532" s="5" t="s">
        <v>2409</v>
      </c>
    </row>
    <row r="14533" spans="1:5" x14ac:dyDescent="0.25">
      <c r="A14533" s="5">
        <f>14525</f>
      </c>
      <c r="B14533" s="5" t="s">
        <v>13804</v>
      </c>
      <c r="C14533" s="5" t="s">
        <v>11</v>
      </c>
      <c r="D14533" s="5" t="s">
        <v>12</v>
      </c>
      <c r="E14533" s="5" t="s">
        <v>2398</v>
      </c>
    </row>
    <row r="14534" spans="1:5" x14ac:dyDescent="0.25">
      <c r="A14534" s="5">
        <f>14526</f>
      </c>
      <c r="B14534" s="5" t="s">
        <v>13805</v>
      </c>
      <c r="C14534" s="5" t="s">
        <v>11</v>
      </c>
      <c r="D14534" s="5" t="s">
        <v>12</v>
      </c>
      <c r="E14534" s="5" t="s">
        <v>3922</v>
      </c>
    </row>
    <row r="14535" spans="1:5" x14ac:dyDescent="0.25">
      <c r="A14535" s="5">
        <f>14527</f>
      </c>
      <c r="B14535" s="5" t="s">
        <v>13806</v>
      </c>
      <c r="C14535" s="5" t="s">
        <v>11</v>
      </c>
      <c r="D14535" s="5" t="s">
        <v>12</v>
      </c>
      <c r="E14535" s="5" t="s">
        <v>2257</v>
      </c>
    </row>
    <row r="14536" spans="1:5" x14ac:dyDescent="0.25">
      <c r="A14536" s="5">
        <f>14528</f>
      </c>
      <c r="B14536" s="5" t="s">
        <v>13807</v>
      </c>
      <c r="C14536" s="5" t="s">
        <v>11</v>
      </c>
      <c r="D14536" s="5" t="s">
        <v>12</v>
      </c>
      <c r="E14536" s="5" t="s">
        <v>1067</v>
      </c>
    </row>
    <row r="14537" spans="1:5" x14ac:dyDescent="0.25">
      <c r="A14537" s="5">
        <f>14529</f>
      </c>
      <c r="B14537" s="5" t="s">
        <v>13808</v>
      </c>
      <c r="C14537" s="5" t="s">
        <v>11</v>
      </c>
      <c r="D14537" s="5" t="s">
        <v>12</v>
      </c>
      <c r="E14537" s="5" t="s">
        <v>9518</v>
      </c>
    </row>
    <row r="14538" spans="1:5" x14ac:dyDescent="0.25">
      <c r="A14538" s="5">
        <f>14530</f>
      </c>
      <c r="B14538" s="5" t="s">
        <v>13809</v>
      </c>
      <c r="C14538" s="5" t="s">
        <v>11</v>
      </c>
      <c r="D14538" s="5" t="s">
        <v>12</v>
      </c>
      <c r="E14538" s="5" t="s">
        <v>3496</v>
      </c>
    </row>
    <row r="14539" spans="1:5" x14ac:dyDescent="0.25">
      <c r="A14539" s="5">
        <f>14531</f>
      </c>
      <c r="B14539" s="5" t="s">
        <v>13810</v>
      </c>
      <c r="C14539" s="5" t="s">
        <v>11</v>
      </c>
      <c r="D14539" s="5" t="s">
        <v>12</v>
      </c>
      <c r="E14539" s="5" t="s">
        <v>4132</v>
      </c>
    </row>
    <row r="14540" spans="1:5" x14ac:dyDescent="0.25">
      <c r="A14540" s="5">
        <f>14532</f>
      </c>
      <c r="B14540" s="5" t="s">
        <v>13811</v>
      </c>
      <c r="C14540" s="5" t="s">
        <v>11</v>
      </c>
      <c r="D14540" s="5" t="s">
        <v>12</v>
      </c>
      <c r="E14540" s="5" t="s">
        <v>3438</v>
      </c>
    </row>
    <row r="14541" spans="1:5" x14ac:dyDescent="0.25">
      <c r="A14541" s="5">
        <f>14533</f>
      </c>
      <c r="B14541" s="5" t="s">
        <v>13812</v>
      </c>
      <c r="C14541" s="5" t="s">
        <v>11</v>
      </c>
      <c r="D14541" s="5" t="s">
        <v>12</v>
      </c>
      <c r="E14541" s="5" t="s">
        <v>3438</v>
      </c>
    </row>
    <row r="14542" spans="1:5" x14ac:dyDescent="0.25">
      <c r="A14542" s="5">
        <f>14534</f>
      </c>
      <c r="B14542" s="5" t="s">
        <v>13813</v>
      </c>
      <c r="C14542" s="5" t="s">
        <v>11</v>
      </c>
      <c r="D14542" s="5" t="s">
        <v>12</v>
      </c>
      <c r="E14542" s="5" t="s">
        <v>722</v>
      </c>
    </row>
    <row r="14543" spans="1:5" x14ac:dyDescent="0.25">
      <c r="A14543" s="5">
        <f>14535</f>
      </c>
      <c r="B14543" s="5" t="s">
        <v>13814</v>
      </c>
      <c r="C14543" s="5" t="s">
        <v>11</v>
      </c>
      <c r="D14543" s="5" t="s">
        <v>12</v>
      </c>
      <c r="E14543" s="5" t="s">
        <v>2823</v>
      </c>
    </row>
    <row r="14544" spans="1:5" x14ac:dyDescent="0.25">
      <c r="A14544" s="5">
        <f>14536</f>
      </c>
      <c r="B14544" s="5" t="s">
        <v>13815</v>
      </c>
      <c r="C14544" s="5" t="s">
        <v>11</v>
      </c>
      <c r="D14544" s="5" t="s">
        <v>12</v>
      </c>
      <c r="E14544" s="5" t="s">
        <v>2396</v>
      </c>
    </row>
    <row r="14545" spans="1:5" x14ac:dyDescent="0.25">
      <c r="A14545" s="5">
        <f>14537</f>
      </c>
      <c r="B14545" s="5" t="s">
        <v>13816</v>
      </c>
      <c r="C14545" s="5" t="s">
        <v>11</v>
      </c>
      <c r="D14545" s="5" t="s">
        <v>12</v>
      </c>
      <c r="E14545" s="5" t="s">
        <v>3589</v>
      </c>
    </row>
    <row r="14546" spans="1:5" x14ac:dyDescent="0.25">
      <c r="A14546" s="5">
        <f>14538</f>
      </c>
      <c r="B14546" s="5" t="s">
        <v>13817</v>
      </c>
      <c r="C14546" s="5" t="s">
        <v>11</v>
      </c>
      <c r="D14546" s="5" t="s">
        <v>12</v>
      </c>
      <c r="E14546" s="5" t="s">
        <v>787</v>
      </c>
    </row>
    <row r="14547" spans="1:5" x14ac:dyDescent="0.25">
      <c r="A14547" s="5">
        <f>14539</f>
      </c>
      <c r="B14547" s="5" t="s">
        <v>13818</v>
      </c>
      <c r="C14547" s="5" t="s">
        <v>11</v>
      </c>
      <c r="D14547" s="5" t="s">
        <v>12</v>
      </c>
      <c r="E14547" s="5" t="s">
        <v>3606</v>
      </c>
    </row>
    <row r="14548" spans="1:5" x14ac:dyDescent="0.25">
      <c r="A14548" s="5">
        <f>14540</f>
      </c>
      <c r="B14548" s="5" t="s">
        <v>13819</v>
      </c>
      <c r="C14548" s="5" t="s">
        <v>11</v>
      </c>
      <c r="D14548" s="5" t="s">
        <v>12</v>
      </c>
      <c r="E14548" s="5" t="s">
        <v>2407</v>
      </c>
    </row>
    <row r="14549" spans="1:5" x14ac:dyDescent="0.25">
      <c r="A14549" s="5">
        <f>14541</f>
      </c>
      <c r="B14549" s="5" t="s">
        <v>13820</v>
      </c>
      <c r="C14549" s="5" t="s">
        <v>11</v>
      </c>
      <c r="D14549" s="5" t="s">
        <v>12</v>
      </c>
      <c r="E14549" s="5" t="s">
        <v>2590</v>
      </c>
    </row>
    <row r="14550" spans="1:5" x14ac:dyDescent="0.25">
      <c r="A14550" s="5">
        <f>14542</f>
      </c>
      <c r="B14550" s="5" t="s">
        <v>13821</v>
      </c>
      <c r="C14550" s="5" t="s">
        <v>11</v>
      </c>
      <c r="D14550" s="5" t="s">
        <v>12</v>
      </c>
      <c r="E14550" s="5" t="s">
        <v>2341</v>
      </c>
    </row>
    <row r="14551" spans="1:5" x14ac:dyDescent="0.25">
      <c r="A14551" s="5">
        <f>14543</f>
      </c>
      <c r="B14551" s="5" t="s">
        <v>13822</v>
      </c>
      <c r="C14551" s="5" t="s">
        <v>11</v>
      </c>
      <c r="D14551" s="5" t="s">
        <v>12</v>
      </c>
      <c r="E14551" s="5" t="s">
        <v>2624</v>
      </c>
    </row>
    <row r="14552" spans="1:5" x14ac:dyDescent="0.25">
      <c r="A14552" s="5">
        <f>14544</f>
      </c>
      <c r="B14552" s="5" t="s">
        <v>13823</v>
      </c>
      <c r="C14552" s="5" t="s">
        <v>11</v>
      </c>
      <c r="D14552" s="5" t="s">
        <v>12</v>
      </c>
      <c r="E14552" s="5" t="s">
        <v>2648</v>
      </c>
    </row>
    <row r="14553" spans="1:5" x14ac:dyDescent="0.25">
      <c r="A14553" s="5">
        <f>14545</f>
      </c>
      <c r="B14553" s="5" t="s">
        <v>13824</v>
      </c>
      <c r="C14553" s="5" t="s">
        <v>11</v>
      </c>
      <c r="D14553" s="5" t="s">
        <v>12</v>
      </c>
      <c r="E14553" s="5" t="s">
        <v>2255</v>
      </c>
    </row>
    <row r="14554" spans="1:5" x14ac:dyDescent="0.25">
      <c r="A14554" s="5">
        <f>14546</f>
      </c>
      <c r="B14554" s="5" t="s">
        <v>13825</v>
      </c>
      <c r="C14554" s="5" t="s">
        <v>11</v>
      </c>
      <c r="D14554" s="5" t="s">
        <v>12</v>
      </c>
      <c r="E14554" s="5" t="s">
        <v>3367</v>
      </c>
    </row>
    <row r="14555" spans="1:5" x14ac:dyDescent="0.25">
      <c r="A14555" s="5">
        <f>14547</f>
      </c>
      <c r="B14555" s="5" t="s">
        <v>13826</v>
      </c>
      <c r="C14555" s="5" t="s">
        <v>11</v>
      </c>
      <c r="D14555" s="5" t="s">
        <v>12</v>
      </c>
      <c r="E14555" s="5" t="s">
        <v>835</v>
      </c>
    </row>
    <row r="14556" spans="1:5" x14ac:dyDescent="0.25">
      <c r="A14556" s="5">
        <f>14548</f>
      </c>
      <c r="B14556" s="5" t="s">
        <v>13827</v>
      </c>
      <c r="C14556" s="5" t="s">
        <v>11</v>
      </c>
      <c r="D14556" s="5" t="s">
        <v>12</v>
      </c>
      <c r="E14556" s="5" t="s">
        <v>835</v>
      </c>
    </row>
    <row r="14557" spans="1:5" x14ac:dyDescent="0.25">
      <c r="A14557" s="5">
        <f>14549</f>
      </c>
      <c r="B14557" s="5" t="s">
        <v>13828</v>
      </c>
      <c r="C14557" s="5" t="s">
        <v>11</v>
      </c>
      <c r="D14557" s="5" t="s">
        <v>12</v>
      </c>
      <c r="E14557" s="5" t="s">
        <v>938</v>
      </c>
    </row>
    <row r="14558" spans="1:5" x14ac:dyDescent="0.25">
      <c r="A14558" s="5">
        <f>14550</f>
      </c>
      <c r="B14558" s="5" t="s">
        <v>13829</v>
      </c>
      <c r="C14558" s="5" t="s">
        <v>11</v>
      </c>
      <c r="D14558" s="5" t="s">
        <v>12</v>
      </c>
      <c r="E14558" s="5" t="s">
        <v>932</v>
      </c>
    </row>
    <row r="14559" spans="1:5" x14ac:dyDescent="0.25">
      <c r="A14559" s="5">
        <f>14551</f>
      </c>
      <c r="B14559" s="5" t="s">
        <v>13830</v>
      </c>
      <c r="C14559" s="5" t="s">
        <v>11</v>
      </c>
      <c r="D14559" s="5" t="s">
        <v>12</v>
      </c>
      <c r="E14559" s="5" t="s">
        <v>3601</v>
      </c>
    </row>
    <row r="14560" spans="1:5" x14ac:dyDescent="0.25">
      <c r="A14560" s="5">
        <f>14552</f>
      </c>
      <c r="B14560" s="5" t="s">
        <v>13831</v>
      </c>
      <c r="C14560" s="5" t="s">
        <v>11</v>
      </c>
      <c r="D14560" s="5" t="s">
        <v>12</v>
      </c>
      <c r="E14560" s="5" t="s">
        <v>3601</v>
      </c>
    </row>
    <row r="14561" spans="1:5" x14ac:dyDescent="0.25">
      <c r="A14561" s="5">
        <f>14553</f>
      </c>
      <c r="B14561" s="5" t="s">
        <v>13832</v>
      </c>
      <c r="C14561" s="5" t="s">
        <v>11</v>
      </c>
      <c r="D14561" s="5" t="s">
        <v>12</v>
      </c>
      <c r="E14561" s="5" t="s">
        <v>835</v>
      </c>
    </row>
    <row r="14562" spans="1:5" x14ac:dyDescent="0.25">
      <c r="A14562" s="5">
        <f>14554</f>
      </c>
      <c r="B14562" s="5" t="s">
        <v>13833</v>
      </c>
      <c r="C14562" s="5" t="s">
        <v>11</v>
      </c>
      <c r="D14562" s="5" t="s">
        <v>12</v>
      </c>
      <c r="E14562" s="5" t="s">
        <v>724</v>
      </c>
    </row>
    <row r="14563" spans="1:5" x14ac:dyDescent="0.25">
      <c r="A14563" s="5">
        <f>14555</f>
      </c>
      <c r="B14563" s="5" t="s">
        <v>13834</v>
      </c>
      <c r="C14563" s="5" t="s">
        <v>11</v>
      </c>
      <c r="D14563" s="5" t="s">
        <v>12</v>
      </c>
      <c r="E14563" s="5" t="s">
        <v>724</v>
      </c>
    </row>
    <row r="14564" spans="1:5" x14ac:dyDescent="0.25">
      <c r="A14564" s="5">
        <f>14556</f>
      </c>
      <c r="B14564" s="5" t="s">
        <v>13835</v>
      </c>
      <c r="C14564" s="5" t="s">
        <v>11</v>
      </c>
      <c r="D14564" s="5" t="s">
        <v>12</v>
      </c>
      <c r="E14564" s="5" t="s">
        <v>846</v>
      </c>
    </row>
    <row r="14565" spans="1:5" x14ac:dyDescent="0.25">
      <c r="A14565" s="5">
        <f>14557</f>
      </c>
      <c r="B14565" s="5" t="s">
        <v>13836</v>
      </c>
      <c r="C14565" s="5" t="s">
        <v>11</v>
      </c>
      <c r="D14565" s="5" t="s">
        <v>12</v>
      </c>
      <c r="E14565" s="5" t="s">
        <v>846</v>
      </c>
    </row>
    <row r="14566" spans="1:5" x14ac:dyDescent="0.25">
      <c r="A14566" s="5">
        <f>14558</f>
      </c>
      <c r="B14566" s="5" t="s">
        <v>13837</v>
      </c>
      <c r="C14566" s="5" t="s">
        <v>11</v>
      </c>
      <c r="D14566" s="5" t="s">
        <v>12</v>
      </c>
      <c r="E14566" s="5" t="s">
        <v>846</v>
      </c>
    </row>
    <row r="14567" spans="1:5" x14ac:dyDescent="0.25">
      <c r="A14567" s="5">
        <f>14559</f>
      </c>
      <c r="B14567" s="5" t="s">
        <v>13838</v>
      </c>
      <c r="C14567" s="5" t="s">
        <v>11</v>
      </c>
      <c r="D14567" s="5" t="s">
        <v>12</v>
      </c>
      <c r="E14567" s="5" t="s">
        <v>871</v>
      </c>
    </row>
    <row r="14568" spans="1:5" x14ac:dyDescent="0.25">
      <c r="A14568" s="5">
        <f>14560</f>
      </c>
      <c r="B14568" s="5" t="s">
        <v>13839</v>
      </c>
      <c r="C14568" s="5" t="s">
        <v>11</v>
      </c>
      <c r="D14568" s="5" t="s">
        <v>12</v>
      </c>
      <c r="E14568" s="5" t="s">
        <v>10660</v>
      </c>
    </row>
    <row r="14569" spans="1:5" x14ac:dyDescent="0.25">
      <c r="A14569" s="5">
        <f>14561</f>
      </c>
      <c r="B14569" s="5" t="s">
        <v>13840</v>
      </c>
      <c r="C14569" s="5" t="s">
        <v>11</v>
      </c>
      <c r="D14569" s="5" t="s">
        <v>12</v>
      </c>
      <c r="E14569" s="5" t="s">
        <v>2304</v>
      </c>
    </row>
    <row r="14570" spans="1:5" x14ac:dyDescent="0.25">
      <c r="A14570" s="5">
        <f>14562</f>
      </c>
      <c r="B14570" s="5" t="s">
        <v>13841</v>
      </c>
      <c r="C14570" s="5" t="s">
        <v>11</v>
      </c>
      <c r="D14570" s="5" t="s">
        <v>12</v>
      </c>
      <c r="E14570" s="5" t="s">
        <v>2304</v>
      </c>
    </row>
    <row r="14571" spans="1:5" x14ac:dyDescent="0.25">
      <c r="A14571" s="5">
        <f>14563</f>
      </c>
      <c r="B14571" s="5" t="s">
        <v>13842</v>
      </c>
      <c r="C14571" s="5" t="s">
        <v>11</v>
      </c>
      <c r="D14571" s="5" t="s">
        <v>12</v>
      </c>
      <c r="E14571" s="5" t="s">
        <v>3955</v>
      </c>
    </row>
    <row r="14572" spans="1:5" x14ac:dyDescent="0.25">
      <c r="A14572" s="5">
        <f>14564</f>
      </c>
      <c r="B14572" s="5" t="s">
        <v>13843</v>
      </c>
      <c r="C14572" s="5" t="s">
        <v>11</v>
      </c>
      <c r="D14572" s="5" t="s">
        <v>12</v>
      </c>
      <c r="E14572" s="5" t="s">
        <v>2619</v>
      </c>
    </row>
    <row r="14573" spans="1:5" x14ac:dyDescent="0.25">
      <c r="A14573" s="5">
        <f>14565</f>
      </c>
      <c r="B14573" s="5" t="s">
        <v>13844</v>
      </c>
      <c r="C14573" s="5" t="s">
        <v>11</v>
      </c>
      <c r="D14573" s="5" t="s">
        <v>12</v>
      </c>
      <c r="E14573" s="5" t="s">
        <v>2819</v>
      </c>
    </row>
    <row r="14574" spans="1:5" x14ac:dyDescent="0.25">
      <c r="A14574" s="5">
        <f>14566</f>
      </c>
      <c r="B14574" s="5" t="s">
        <v>13845</v>
      </c>
      <c r="C14574" s="5" t="s">
        <v>11</v>
      </c>
      <c r="D14574" s="5" t="s">
        <v>12</v>
      </c>
      <c r="E14574" s="5" t="s">
        <v>2819</v>
      </c>
    </row>
    <row r="14575" spans="1:5" x14ac:dyDescent="0.25">
      <c r="A14575" s="5">
        <f>14567</f>
      </c>
      <c r="B14575" s="5" t="s">
        <v>13846</v>
      </c>
      <c r="C14575" s="5" t="s">
        <v>11</v>
      </c>
      <c r="D14575" s="5" t="s">
        <v>12</v>
      </c>
      <c r="E14575" s="5" t="s">
        <v>3520</v>
      </c>
    </row>
    <row r="14576" spans="1:5" x14ac:dyDescent="0.25">
      <c r="A14576" s="5">
        <f>14568</f>
      </c>
      <c r="B14576" s="5" t="s">
        <v>13847</v>
      </c>
      <c r="C14576" s="5" t="s">
        <v>11</v>
      </c>
      <c r="D14576" s="5" t="s">
        <v>12</v>
      </c>
      <c r="E14576" s="5" t="s">
        <v>3520</v>
      </c>
    </row>
    <row r="14577" spans="1:5" x14ac:dyDescent="0.25">
      <c r="A14577" s="5">
        <f>14569</f>
      </c>
      <c r="B14577" s="5" t="s">
        <v>13848</v>
      </c>
      <c r="C14577" s="5" t="s">
        <v>11</v>
      </c>
      <c r="D14577" s="5" t="s">
        <v>12</v>
      </c>
      <c r="E14577" s="5" t="s">
        <v>879</v>
      </c>
    </row>
    <row r="14578" spans="1:5" x14ac:dyDescent="0.25">
      <c r="A14578" s="5">
        <f>14570</f>
      </c>
      <c r="B14578" s="5" t="s">
        <v>13849</v>
      </c>
      <c r="C14578" s="5" t="s">
        <v>11</v>
      </c>
      <c r="D14578" s="5" t="s">
        <v>12</v>
      </c>
      <c r="E14578" s="5" t="s">
        <v>879</v>
      </c>
    </row>
    <row r="14579" spans="1:5" x14ac:dyDescent="0.25">
      <c r="A14579" s="5">
        <f>14571</f>
      </c>
      <c r="B14579" s="5" t="s">
        <v>13850</v>
      </c>
      <c r="C14579" s="5" t="s">
        <v>11</v>
      </c>
      <c r="D14579" s="5" t="s">
        <v>12</v>
      </c>
      <c r="E14579" s="5" t="s">
        <v>3674</v>
      </c>
    </row>
    <row r="14580" spans="1:5" x14ac:dyDescent="0.25">
      <c r="A14580" s="5">
        <f>14572</f>
      </c>
      <c r="B14580" s="5" t="s">
        <v>13851</v>
      </c>
      <c r="C14580" s="5" t="s">
        <v>11</v>
      </c>
      <c r="D14580" s="5" t="s">
        <v>12</v>
      </c>
      <c r="E14580" s="5" t="s">
        <v>3674</v>
      </c>
    </row>
    <row r="14581" spans="1:5" x14ac:dyDescent="0.25">
      <c r="A14581" s="5">
        <f>14573</f>
      </c>
      <c r="B14581" s="5" t="s">
        <v>13852</v>
      </c>
      <c r="C14581" s="5" t="s">
        <v>11</v>
      </c>
      <c r="D14581" s="5" t="s">
        <v>12</v>
      </c>
      <c r="E14581" s="5" t="s">
        <v>3674</v>
      </c>
    </row>
    <row r="14582" spans="1:5" x14ac:dyDescent="0.25">
      <c r="A14582" s="5">
        <f>14574</f>
      </c>
      <c r="B14582" s="5" t="s">
        <v>13853</v>
      </c>
      <c r="C14582" s="5" t="s">
        <v>11</v>
      </c>
      <c r="D14582" s="5" t="s">
        <v>12</v>
      </c>
      <c r="E14582" s="5" t="s">
        <v>3674</v>
      </c>
    </row>
    <row r="14583" spans="1:5" x14ac:dyDescent="0.25">
      <c r="A14583" s="5">
        <f>14575</f>
      </c>
      <c r="B14583" s="5" t="s">
        <v>13854</v>
      </c>
      <c r="C14583" s="5" t="s">
        <v>11</v>
      </c>
      <c r="D14583" s="5" t="s">
        <v>12</v>
      </c>
      <c r="E14583" s="5" t="s">
        <v>3674</v>
      </c>
    </row>
    <row r="14584" spans="1:5" x14ac:dyDescent="0.25">
      <c r="A14584" s="5">
        <f>14576</f>
      </c>
      <c r="B14584" s="5" t="s">
        <v>13855</v>
      </c>
      <c r="C14584" s="5" t="s">
        <v>11</v>
      </c>
      <c r="D14584" s="5" t="s">
        <v>12</v>
      </c>
      <c r="E14584" s="5" t="s">
        <v>3674</v>
      </c>
    </row>
    <row r="14585" spans="1:5" x14ac:dyDescent="0.25">
      <c r="A14585" s="5">
        <f>14577</f>
      </c>
      <c r="B14585" s="5" t="s">
        <v>13856</v>
      </c>
      <c r="C14585" s="5" t="s">
        <v>11</v>
      </c>
      <c r="D14585" s="5" t="s">
        <v>12</v>
      </c>
      <c r="E14585" s="5" t="s">
        <v>3674</v>
      </c>
    </row>
    <row r="14586" spans="1:5" x14ac:dyDescent="0.25">
      <c r="A14586" s="5">
        <f>14578</f>
      </c>
      <c r="B14586" s="5" t="s">
        <v>13857</v>
      </c>
      <c r="C14586" s="5" t="s">
        <v>11</v>
      </c>
      <c r="D14586" s="5" t="s">
        <v>12</v>
      </c>
      <c r="E14586" s="5" t="s">
        <v>3674</v>
      </c>
    </row>
    <row r="14587" spans="1:5" x14ac:dyDescent="0.25">
      <c r="A14587" s="5">
        <f>14579</f>
      </c>
      <c r="B14587" s="5" t="s">
        <v>13858</v>
      </c>
      <c r="C14587" s="5" t="s">
        <v>11</v>
      </c>
      <c r="D14587" s="5" t="s">
        <v>12</v>
      </c>
      <c r="E14587" s="5" t="s">
        <v>3674</v>
      </c>
    </row>
    <row r="14588" spans="1:5" x14ac:dyDescent="0.25">
      <c r="A14588" s="5">
        <f>14580</f>
      </c>
      <c r="B14588" s="5" t="s">
        <v>13859</v>
      </c>
      <c r="C14588" s="5" t="s">
        <v>11</v>
      </c>
      <c r="D14588" s="5" t="s">
        <v>12</v>
      </c>
      <c r="E14588" s="5" t="s">
        <v>3674</v>
      </c>
    </row>
    <row r="14589" spans="1:5" x14ac:dyDescent="0.25">
      <c r="A14589" s="5">
        <f>14581</f>
      </c>
      <c r="B14589" s="5" t="s">
        <v>13860</v>
      </c>
      <c r="C14589" s="5" t="s">
        <v>11</v>
      </c>
      <c r="D14589" s="5" t="s">
        <v>12</v>
      </c>
      <c r="E14589" s="5" t="s">
        <v>3674</v>
      </c>
    </row>
    <row r="14590" spans="1:5" x14ac:dyDescent="0.25">
      <c r="A14590" s="5">
        <f>14582</f>
      </c>
      <c r="B14590" s="5" t="s">
        <v>13861</v>
      </c>
      <c r="C14590" s="5" t="s">
        <v>11</v>
      </c>
      <c r="D14590" s="5" t="s">
        <v>12</v>
      </c>
      <c r="E14590" s="5" t="s">
        <v>3674</v>
      </c>
    </row>
    <row r="14591" spans="1:5" x14ac:dyDescent="0.25">
      <c r="A14591" s="5">
        <f>14583</f>
      </c>
      <c r="B14591" s="5" t="s">
        <v>13862</v>
      </c>
      <c r="C14591" s="5" t="s">
        <v>11</v>
      </c>
      <c r="D14591" s="5" t="s">
        <v>12</v>
      </c>
      <c r="E14591" s="5" t="s">
        <v>3674</v>
      </c>
    </row>
    <row r="14592" spans="1:5" x14ac:dyDescent="0.25">
      <c r="A14592" s="5">
        <f>14584</f>
      </c>
      <c r="B14592" s="5" t="s">
        <v>13863</v>
      </c>
      <c r="C14592" s="5" t="s">
        <v>11</v>
      </c>
      <c r="D14592" s="5" t="s">
        <v>12</v>
      </c>
      <c r="E14592" s="5" t="s">
        <v>3674</v>
      </c>
    </row>
    <row r="14593" spans="1:5" x14ac:dyDescent="0.25">
      <c r="A14593" s="5">
        <f>14585</f>
      </c>
      <c r="B14593" s="5" t="s">
        <v>13864</v>
      </c>
      <c r="C14593" s="5" t="s">
        <v>11</v>
      </c>
      <c r="D14593" s="5" t="s">
        <v>12</v>
      </c>
      <c r="E14593" s="5" t="s">
        <v>3674</v>
      </c>
    </row>
    <row r="14594" spans="1:5" x14ac:dyDescent="0.25">
      <c r="A14594" s="5">
        <f>14586</f>
      </c>
      <c r="B14594" s="5" t="s">
        <v>13865</v>
      </c>
      <c r="C14594" s="5" t="s">
        <v>11</v>
      </c>
      <c r="D14594" s="5" t="s">
        <v>12</v>
      </c>
      <c r="E14594" s="5" t="s">
        <v>3962</v>
      </c>
    </row>
    <row r="14595" spans="1:5" x14ac:dyDescent="0.25">
      <c r="A14595" s="5">
        <f>14587</f>
      </c>
      <c r="B14595" s="5" t="s">
        <v>13866</v>
      </c>
      <c r="C14595" s="5" t="s">
        <v>11</v>
      </c>
      <c r="D14595" s="5" t="s">
        <v>12</v>
      </c>
      <c r="E14595" s="5" t="s">
        <v>3962</v>
      </c>
    </row>
    <row r="14596" spans="1:5" x14ac:dyDescent="0.25">
      <c r="A14596" s="5">
        <f>14588</f>
      </c>
      <c r="B14596" s="5" t="s">
        <v>13867</v>
      </c>
      <c r="C14596" s="5" t="s">
        <v>11</v>
      </c>
      <c r="D14596" s="5" t="s">
        <v>12</v>
      </c>
      <c r="E14596" s="5" t="s">
        <v>3713</v>
      </c>
    </row>
    <row r="14597" spans="1:5" x14ac:dyDescent="0.25">
      <c r="A14597" s="5">
        <f>14589</f>
      </c>
      <c r="B14597" s="5" t="s">
        <v>13868</v>
      </c>
      <c r="C14597" s="5" t="s">
        <v>11</v>
      </c>
      <c r="D14597" s="5" t="s">
        <v>12</v>
      </c>
      <c r="E14597" s="5" t="s">
        <v>3713</v>
      </c>
    </row>
    <row r="14598" spans="1:5" x14ac:dyDescent="0.25">
      <c r="A14598" s="5">
        <f>14590</f>
      </c>
      <c r="B14598" s="5" t="s">
        <v>13869</v>
      </c>
      <c r="C14598" s="5" t="s">
        <v>11</v>
      </c>
      <c r="D14598" s="5" t="s">
        <v>12</v>
      </c>
      <c r="E14598" s="5" t="s">
        <v>846</v>
      </c>
    </row>
    <row r="14599" spans="1:5" x14ac:dyDescent="0.25">
      <c r="A14599" s="5">
        <f>14591</f>
      </c>
      <c r="B14599" s="5" t="s">
        <v>13870</v>
      </c>
      <c r="C14599" s="5" t="s">
        <v>11</v>
      </c>
      <c r="D14599" s="5" t="s">
        <v>12</v>
      </c>
      <c r="E14599" s="5" t="s">
        <v>3589</v>
      </c>
    </row>
    <row r="14600" spans="1:5" x14ac:dyDescent="0.25">
      <c r="A14600" s="5">
        <f>14592</f>
      </c>
      <c r="B14600" s="5" t="s">
        <v>13871</v>
      </c>
      <c r="C14600" s="5" t="s">
        <v>11</v>
      </c>
      <c r="D14600" s="5" t="s">
        <v>12</v>
      </c>
      <c r="E14600" s="5" t="s">
        <v>10574</v>
      </c>
    </row>
    <row r="14601" spans="1:5" x14ac:dyDescent="0.25">
      <c r="A14601" s="5">
        <f>14593</f>
      </c>
      <c r="B14601" s="5" t="s">
        <v>13872</v>
      </c>
      <c r="C14601" s="5" t="s">
        <v>11</v>
      </c>
      <c r="D14601" s="5" t="s">
        <v>12</v>
      </c>
      <c r="E14601" s="5" t="s">
        <v>4105</v>
      </c>
    </row>
    <row r="14602" spans="1:5" x14ac:dyDescent="0.25">
      <c r="A14602" s="5">
        <f>14594</f>
      </c>
      <c r="B14602" s="5" t="s">
        <v>13873</v>
      </c>
      <c r="C14602" s="5" t="s">
        <v>11</v>
      </c>
      <c r="D14602" s="5" t="s">
        <v>12</v>
      </c>
      <c r="E14602" s="5" t="s">
        <v>4132</v>
      </c>
    </row>
    <row r="14603" spans="1:5" x14ac:dyDescent="0.25">
      <c r="A14603" s="5">
        <f>14595</f>
      </c>
      <c r="B14603" s="5" t="s">
        <v>13874</v>
      </c>
      <c r="C14603" s="5" t="s">
        <v>11</v>
      </c>
      <c r="D14603" s="5" t="s">
        <v>12</v>
      </c>
      <c r="E14603" s="5" t="s">
        <v>3927</v>
      </c>
    </row>
    <row r="14604" spans="1:5" x14ac:dyDescent="0.25">
      <c r="A14604" s="5">
        <f>14596</f>
      </c>
      <c r="B14604" s="5" t="s">
        <v>13875</v>
      </c>
      <c r="C14604" s="5" t="s">
        <v>11</v>
      </c>
      <c r="D14604" s="5" t="s">
        <v>12</v>
      </c>
      <c r="E14604" s="5" t="s">
        <v>1060</v>
      </c>
    </row>
    <row r="14605" spans="1:5" x14ac:dyDescent="0.25">
      <c r="A14605" s="5">
        <f>14597</f>
      </c>
      <c r="B14605" s="5" t="s">
        <v>13876</v>
      </c>
      <c r="C14605" s="5" t="s">
        <v>11</v>
      </c>
      <c r="D14605" s="5" t="s">
        <v>12</v>
      </c>
      <c r="E14605" s="5" t="s">
        <v>2876</v>
      </c>
    </row>
    <row r="14606" spans="1:5" x14ac:dyDescent="0.25">
      <c r="A14606" s="5">
        <f>14598</f>
      </c>
      <c r="B14606" s="5" t="s">
        <v>13877</v>
      </c>
      <c r="C14606" s="5" t="s">
        <v>11</v>
      </c>
      <c r="D14606" s="5" t="s">
        <v>12</v>
      </c>
      <c r="E14606" s="5" t="s">
        <v>10622</v>
      </c>
    </row>
    <row r="14607" spans="1:5" x14ac:dyDescent="0.25">
      <c r="A14607" s="5">
        <f>14599</f>
      </c>
      <c r="B14607" s="5" t="s">
        <v>13878</v>
      </c>
      <c r="C14607" s="5" t="s">
        <v>11</v>
      </c>
      <c r="D14607" s="5" t="s">
        <v>12</v>
      </c>
      <c r="E14607" s="5" t="s">
        <v>10622</v>
      </c>
    </row>
    <row r="14608" spans="1:5" x14ac:dyDescent="0.25">
      <c r="A14608" s="5">
        <f>14600</f>
      </c>
      <c r="B14608" s="5" t="s">
        <v>13879</v>
      </c>
      <c r="C14608" s="5" t="s">
        <v>11</v>
      </c>
      <c r="D14608" s="5" t="s">
        <v>12</v>
      </c>
      <c r="E14608" s="5" t="s">
        <v>826</v>
      </c>
    </row>
    <row r="14609" spans="1:5" x14ac:dyDescent="0.25">
      <c r="A14609" s="5">
        <f>14601</f>
      </c>
      <c r="B14609" s="5" t="s">
        <v>13880</v>
      </c>
      <c r="C14609" s="5" t="s">
        <v>11</v>
      </c>
      <c r="D14609" s="5" t="s">
        <v>12</v>
      </c>
      <c r="E14609" s="5" t="s">
        <v>3771</v>
      </c>
    </row>
    <row r="14610" spans="1:5" x14ac:dyDescent="0.25">
      <c r="A14610" s="5">
        <f>14602</f>
      </c>
      <c r="B14610" s="5" t="s">
        <v>13881</v>
      </c>
      <c r="C14610" s="5" t="s">
        <v>11</v>
      </c>
      <c r="D14610" s="5" t="s">
        <v>12</v>
      </c>
      <c r="E14610" s="5" t="s">
        <v>3767</v>
      </c>
    </row>
    <row r="14611" spans="1:5" x14ac:dyDescent="0.25">
      <c r="A14611" s="5">
        <f>14603</f>
      </c>
      <c r="B14611" s="5" t="s">
        <v>13882</v>
      </c>
      <c r="C14611" s="5" t="s">
        <v>11</v>
      </c>
      <c r="D14611" s="5" t="s">
        <v>12</v>
      </c>
      <c r="E14611" s="5" t="s">
        <v>3879</v>
      </c>
    </row>
    <row r="14612" spans="1:5" x14ac:dyDescent="0.25">
      <c r="A14612" s="5">
        <f>14604</f>
      </c>
      <c r="B14612" s="5" t="s">
        <v>13883</v>
      </c>
      <c r="C14612" s="5" t="s">
        <v>11</v>
      </c>
      <c r="D14612" s="5" t="s">
        <v>12</v>
      </c>
      <c r="E14612" s="5" t="s">
        <v>3376</v>
      </c>
    </row>
    <row r="14613" spans="1:5" x14ac:dyDescent="0.25">
      <c r="A14613" s="5">
        <f>14605</f>
      </c>
      <c r="B14613" s="5" t="s">
        <v>13884</v>
      </c>
      <c r="C14613" s="5" t="s">
        <v>11</v>
      </c>
      <c r="D14613" s="5" t="s">
        <v>12</v>
      </c>
      <c r="E14613" s="5" t="s">
        <v>2338</v>
      </c>
    </row>
    <row r="14614" spans="1:5" x14ac:dyDescent="0.25">
      <c r="A14614" s="5">
        <f>14606</f>
      </c>
      <c r="B14614" s="5" t="s">
        <v>13885</v>
      </c>
      <c r="C14614" s="5" t="s">
        <v>11</v>
      </c>
      <c r="D14614" s="5" t="s">
        <v>12</v>
      </c>
      <c r="E14614" s="5" t="s">
        <v>3932</v>
      </c>
    </row>
    <row r="14615" spans="1:5" x14ac:dyDescent="0.25">
      <c r="A14615" s="5">
        <f>14607</f>
      </c>
      <c r="B14615" s="5" t="s">
        <v>13886</v>
      </c>
      <c r="C14615" s="5" t="s">
        <v>11</v>
      </c>
      <c r="D14615" s="5" t="s">
        <v>12</v>
      </c>
      <c r="E14615" s="5" t="s">
        <v>2343</v>
      </c>
    </row>
    <row r="14616" spans="1:5" x14ac:dyDescent="0.25">
      <c r="A14616" s="5">
        <f>14608</f>
      </c>
      <c r="B14616" s="5" t="s">
        <v>13887</v>
      </c>
      <c r="C14616" s="5" t="s">
        <v>11</v>
      </c>
      <c r="D14616" s="5" t="s">
        <v>12</v>
      </c>
      <c r="E14616" s="5" t="s">
        <v>787</v>
      </c>
    </row>
    <row r="14617" spans="1:5" x14ac:dyDescent="0.25">
      <c r="A14617" s="5">
        <f>14609</f>
      </c>
      <c r="B14617" s="5" t="s">
        <v>13888</v>
      </c>
      <c r="C14617" s="5" t="s">
        <v>11</v>
      </c>
      <c r="D14617" s="5" t="s">
        <v>12</v>
      </c>
      <c r="E14617" s="5" t="s">
        <v>2249</v>
      </c>
    </row>
    <row r="14618" spans="1:5" x14ac:dyDescent="0.25">
      <c r="A14618" s="5">
        <f>14610</f>
      </c>
      <c r="B14618" s="5" t="s">
        <v>13889</v>
      </c>
      <c r="C14618" s="5" t="s">
        <v>11</v>
      </c>
      <c r="D14618" s="5" t="s">
        <v>12</v>
      </c>
      <c r="E14618" s="5" t="s">
        <v>3382</v>
      </c>
    </row>
    <row r="14619" spans="1:5" x14ac:dyDescent="0.25">
      <c r="A14619" s="5">
        <f>14611</f>
      </c>
      <c r="B14619" s="5" t="s">
        <v>13890</v>
      </c>
      <c r="C14619" s="5" t="s">
        <v>11</v>
      </c>
      <c r="D14619" s="5" t="s">
        <v>12</v>
      </c>
      <c r="E14619" s="5" t="s">
        <v>941</v>
      </c>
    </row>
    <row r="14620" spans="1:5" x14ac:dyDescent="0.25">
      <c r="A14620" s="5">
        <f>14612</f>
      </c>
      <c r="B14620" s="5" t="s">
        <v>13891</v>
      </c>
      <c r="C14620" s="5" t="s">
        <v>11</v>
      </c>
      <c r="D14620" s="5" t="s">
        <v>12</v>
      </c>
      <c r="E14620" s="5" t="s">
        <v>3674</v>
      </c>
    </row>
    <row r="14621" spans="1:5" x14ac:dyDescent="0.25">
      <c r="A14621" s="5">
        <f>14613</f>
      </c>
      <c r="B14621" s="5" t="s">
        <v>13892</v>
      </c>
      <c r="C14621" s="5" t="s">
        <v>11</v>
      </c>
      <c r="D14621" s="5" t="s">
        <v>12</v>
      </c>
      <c r="E14621" s="5" t="s">
        <v>3875</v>
      </c>
    </row>
    <row r="14622" spans="1:5" x14ac:dyDescent="0.25">
      <c r="A14622" s="5">
        <f>14614</f>
      </c>
      <c r="B14622" s="5" t="s">
        <v>13893</v>
      </c>
      <c r="C14622" s="5" t="s">
        <v>11</v>
      </c>
      <c r="D14622" s="5" t="s">
        <v>12</v>
      </c>
      <c r="E14622" s="5" t="s">
        <v>941</v>
      </c>
    </row>
    <row r="14623" spans="1:5" x14ac:dyDescent="0.25">
      <c r="A14623" s="5">
        <f>14615</f>
      </c>
      <c r="B14623" s="5" t="s">
        <v>13894</v>
      </c>
      <c r="C14623" s="5" t="s">
        <v>11</v>
      </c>
      <c r="D14623" s="5" t="s">
        <v>12</v>
      </c>
      <c r="E14623" s="5" t="s">
        <v>2661</v>
      </c>
    </row>
    <row r="14624" spans="1:5" x14ac:dyDescent="0.25">
      <c r="A14624" s="5">
        <f>14616</f>
      </c>
      <c r="B14624" s="5" t="s">
        <v>13895</v>
      </c>
      <c r="C14624" s="5" t="s">
        <v>11</v>
      </c>
      <c r="D14624" s="5" t="s">
        <v>12</v>
      </c>
      <c r="E14624" s="5" t="s">
        <v>2668</v>
      </c>
    </row>
    <row r="14625" spans="1:5" x14ac:dyDescent="0.25">
      <c r="A14625" s="5">
        <f>14617</f>
      </c>
      <c r="B14625" s="5" t="s">
        <v>13896</v>
      </c>
      <c r="C14625" s="5" t="s">
        <v>11</v>
      </c>
      <c r="D14625" s="5" t="s">
        <v>12</v>
      </c>
      <c r="E14625" s="5" t="s">
        <v>2577</v>
      </c>
    </row>
    <row r="14626" spans="1:5" x14ac:dyDescent="0.25">
      <c r="A14626" s="5">
        <f>14618</f>
      </c>
      <c r="B14626" s="5" t="s">
        <v>13897</v>
      </c>
      <c r="C14626" s="5" t="s">
        <v>11</v>
      </c>
      <c r="D14626" s="5" t="s">
        <v>12</v>
      </c>
      <c r="E14626" s="5" t="s">
        <v>2577</v>
      </c>
    </row>
    <row r="14627" spans="1:5" x14ac:dyDescent="0.25">
      <c r="A14627" s="5">
        <f>14619</f>
      </c>
      <c r="B14627" s="5" t="s">
        <v>13898</v>
      </c>
      <c r="C14627" s="5" t="s">
        <v>11</v>
      </c>
      <c r="D14627" s="5" t="s">
        <v>12</v>
      </c>
      <c r="E14627" s="5" t="s">
        <v>2298</v>
      </c>
    </row>
    <row r="14628" spans="1:5" x14ac:dyDescent="0.25">
      <c r="A14628" s="5">
        <f>14620</f>
      </c>
      <c r="B14628" s="5" t="s">
        <v>13899</v>
      </c>
      <c r="C14628" s="5" t="s">
        <v>11</v>
      </c>
      <c r="D14628" s="5" t="s">
        <v>12</v>
      </c>
      <c r="E14628" s="5" t="s">
        <v>2298</v>
      </c>
    </row>
    <row r="14629" spans="1:5" x14ac:dyDescent="0.25">
      <c r="A14629" s="5">
        <f>14621</f>
      </c>
      <c r="B14629" s="5" t="s">
        <v>13900</v>
      </c>
      <c r="C14629" s="5" t="s">
        <v>11</v>
      </c>
      <c r="D14629" s="5" t="s">
        <v>12</v>
      </c>
      <c r="E14629" s="5" t="s">
        <v>2829</v>
      </c>
    </row>
    <row r="14630" spans="1:5" x14ac:dyDescent="0.25">
      <c r="A14630" s="5">
        <f>14622</f>
      </c>
      <c r="B14630" s="5" t="s">
        <v>13901</v>
      </c>
      <c r="C14630" s="5" t="s">
        <v>11</v>
      </c>
      <c r="D14630" s="5" t="s">
        <v>12</v>
      </c>
      <c r="E14630" s="5" t="s">
        <v>3601</v>
      </c>
    </row>
    <row r="14631" spans="1:5" x14ac:dyDescent="0.25">
      <c r="A14631" s="5">
        <f>14623</f>
      </c>
      <c r="B14631" s="5" t="s">
        <v>13902</v>
      </c>
      <c r="C14631" s="5" t="s">
        <v>11</v>
      </c>
      <c r="D14631" s="5" t="s">
        <v>12</v>
      </c>
      <c r="E14631" s="5" t="s">
        <v>3601</v>
      </c>
    </row>
    <row r="14632" spans="1:5" x14ac:dyDescent="0.25">
      <c r="A14632" s="5">
        <f>14624</f>
      </c>
      <c r="B14632" s="5" t="s">
        <v>13903</v>
      </c>
      <c r="C14632" s="5" t="s">
        <v>11</v>
      </c>
      <c r="D14632" s="5" t="s">
        <v>12</v>
      </c>
      <c r="E14632" s="5" t="s">
        <v>2873</v>
      </c>
    </row>
    <row r="14633" spans="1:5" x14ac:dyDescent="0.25">
      <c r="A14633" s="5">
        <f>14625</f>
      </c>
      <c r="B14633" s="5" t="s">
        <v>13904</v>
      </c>
      <c r="C14633" s="5" t="s">
        <v>11</v>
      </c>
      <c r="D14633" s="5" t="s">
        <v>12</v>
      </c>
      <c r="E14633" s="5" t="s">
        <v>2634</v>
      </c>
    </row>
    <row r="14634" spans="1:5" x14ac:dyDescent="0.25">
      <c r="A14634" s="5">
        <f>14626</f>
      </c>
      <c r="B14634" s="5" t="s">
        <v>13905</v>
      </c>
      <c r="C14634" s="5" t="s">
        <v>11</v>
      </c>
      <c r="D14634" s="5" t="s">
        <v>12</v>
      </c>
      <c r="E14634" s="5" t="s">
        <v>2622</v>
      </c>
    </row>
    <row r="14635" spans="1:5" x14ac:dyDescent="0.25">
      <c r="A14635" s="5">
        <f>14627</f>
      </c>
      <c r="B14635" s="5" t="s">
        <v>13906</v>
      </c>
      <c r="C14635" s="5" t="s">
        <v>11</v>
      </c>
      <c r="D14635" s="5" t="s">
        <v>12</v>
      </c>
      <c r="E14635" s="5" t="s">
        <v>4048</v>
      </c>
    </row>
    <row r="14636" spans="1:5" x14ac:dyDescent="0.25">
      <c r="A14636" s="5">
        <f>14628</f>
      </c>
      <c r="B14636" s="5" t="s">
        <v>13907</v>
      </c>
      <c r="C14636" s="5" t="s">
        <v>11</v>
      </c>
      <c r="D14636" s="5" t="s">
        <v>12</v>
      </c>
      <c r="E14636" s="5" t="s">
        <v>2409</v>
      </c>
    </row>
    <row r="14637" spans="1:5" x14ac:dyDescent="0.25">
      <c r="A14637" s="5">
        <f>14629</f>
      </c>
      <c r="B14637" s="5" t="s">
        <v>13908</v>
      </c>
      <c r="C14637" s="5" t="s">
        <v>11</v>
      </c>
      <c r="D14637" s="5" t="s">
        <v>12</v>
      </c>
      <c r="E14637" s="5" t="s">
        <v>9553</v>
      </c>
    </row>
    <row r="14638" spans="1:5" x14ac:dyDescent="0.25">
      <c r="A14638" s="5">
        <f>14630</f>
      </c>
      <c r="B14638" s="5" t="s">
        <v>13909</v>
      </c>
      <c r="C14638" s="5" t="s">
        <v>11</v>
      </c>
      <c r="D14638" s="5" t="s">
        <v>12</v>
      </c>
      <c r="E14638" s="5" t="s">
        <v>9553</v>
      </c>
    </row>
    <row r="14639" spans="1:5" x14ac:dyDescent="0.25">
      <c r="A14639" s="5">
        <f>14631</f>
      </c>
      <c r="B14639" s="5" t="s">
        <v>13910</v>
      </c>
      <c r="C14639" s="5" t="s">
        <v>11</v>
      </c>
      <c r="D14639" s="5" t="s">
        <v>12</v>
      </c>
      <c r="E14639" s="5" t="s">
        <v>3686</v>
      </c>
    </row>
    <row r="14640" spans="1:5" x14ac:dyDescent="0.25">
      <c r="A14640" s="5">
        <f>14632</f>
      </c>
      <c r="B14640" s="5" t="s">
        <v>13911</v>
      </c>
      <c r="C14640" s="5" t="s">
        <v>11</v>
      </c>
      <c r="D14640" s="5" t="s">
        <v>12</v>
      </c>
      <c r="E14640" s="5" t="s">
        <v>3493</v>
      </c>
    </row>
    <row r="14641" spans="1:5" x14ac:dyDescent="0.25">
      <c r="A14641" s="5">
        <f>14633</f>
      </c>
      <c r="B14641" s="5" t="s">
        <v>13912</v>
      </c>
      <c r="C14641" s="5" t="s">
        <v>11</v>
      </c>
      <c r="D14641" s="5" t="s">
        <v>12</v>
      </c>
      <c r="E14641" s="5" t="s">
        <v>2624</v>
      </c>
    </row>
    <row r="14642" spans="1:5" x14ac:dyDescent="0.25">
      <c r="A14642" s="5">
        <f>14634</f>
      </c>
      <c r="B14642" s="5" t="s">
        <v>13913</v>
      </c>
      <c r="C14642" s="5" t="s">
        <v>11</v>
      </c>
      <c r="D14642" s="5" t="s">
        <v>12</v>
      </c>
      <c r="E14642" s="5" t="s">
        <v>996</v>
      </c>
    </row>
    <row r="14643" spans="1:5" x14ac:dyDescent="0.25">
      <c r="A14643" s="5">
        <f>14635</f>
      </c>
      <c r="B14643" s="5" t="s">
        <v>13914</v>
      </c>
      <c r="C14643" s="5" t="s">
        <v>11</v>
      </c>
      <c r="D14643" s="5" t="s">
        <v>12</v>
      </c>
      <c r="E14643" s="5" t="s">
        <v>732</v>
      </c>
    </row>
    <row r="14644" spans="1:5" x14ac:dyDescent="0.25">
      <c r="A14644" s="5">
        <f>14636</f>
      </c>
      <c r="B14644" s="5" t="s">
        <v>13915</v>
      </c>
      <c r="C14644" s="5" t="s">
        <v>11</v>
      </c>
      <c r="D14644" s="5" t="s">
        <v>12</v>
      </c>
      <c r="E14644" s="5" t="s">
        <v>732</v>
      </c>
    </row>
    <row r="14645" spans="1:5" x14ac:dyDescent="0.25">
      <c r="A14645" s="5">
        <f>14637</f>
      </c>
      <c r="B14645" s="5" t="s">
        <v>13916</v>
      </c>
      <c r="C14645" s="5" t="s">
        <v>11</v>
      </c>
      <c r="D14645" s="5" t="s">
        <v>12</v>
      </c>
      <c r="E14645" s="5" t="s">
        <v>1030</v>
      </c>
    </row>
    <row r="14646" spans="1:5" x14ac:dyDescent="0.25">
      <c r="A14646" s="5">
        <f>14638</f>
      </c>
      <c r="B14646" s="5" t="s">
        <v>13917</v>
      </c>
      <c r="C14646" s="5" t="s">
        <v>11</v>
      </c>
      <c r="D14646" s="5" t="s">
        <v>12</v>
      </c>
      <c r="E14646" s="5" t="s">
        <v>3962</v>
      </c>
    </row>
    <row r="14647" spans="1:5" x14ac:dyDescent="0.25">
      <c r="A14647" s="5">
        <f>14639</f>
      </c>
      <c r="B14647" s="5" t="s">
        <v>13918</v>
      </c>
      <c r="C14647" s="5" t="s">
        <v>11</v>
      </c>
      <c r="D14647" s="5" t="s">
        <v>12</v>
      </c>
      <c r="E14647" s="5" t="s">
        <v>3962</v>
      </c>
    </row>
    <row r="14648" spans="1:5" x14ac:dyDescent="0.25">
      <c r="A14648" s="5">
        <f>14640</f>
      </c>
      <c r="B14648" s="5" t="s">
        <v>13919</v>
      </c>
      <c r="C14648" s="5" t="s">
        <v>11</v>
      </c>
      <c r="D14648" s="5" t="s">
        <v>12</v>
      </c>
      <c r="E14648" s="5" t="s">
        <v>3962</v>
      </c>
    </row>
    <row r="14649" spans="1:5" x14ac:dyDescent="0.25">
      <c r="A14649" s="5">
        <f>14641</f>
      </c>
      <c r="B14649" s="5" t="s">
        <v>13920</v>
      </c>
      <c r="C14649" s="5" t="s">
        <v>11</v>
      </c>
      <c r="D14649" s="5" t="s">
        <v>12</v>
      </c>
      <c r="E14649" s="5" t="s">
        <v>3962</v>
      </c>
    </row>
    <row r="14650" spans="1:5" x14ac:dyDescent="0.25">
      <c r="A14650" s="5">
        <f>14642</f>
      </c>
      <c r="B14650" s="5" t="s">
        <v>13921</v>
      </c>
      <c r="C14650" s="5" t="s">
        <v>11</v>
      </c>
      <c r="D14650" s="5" t="s">
        <v>12</v>
      </c>
      <c r="E14650" s="5" t="s">
        <v>3962</v>
      </c>
    </row>
    <row r="14651" spans="1:5" x14ac:dyDescent="0.25">
      <c r="A14651" s="5">
        <f>14643</f>
      </c>
      <c r="B14651" s="5" t="s">
        <v>13922</v>
      </c>
      <c r="C14651" s="5" t="s">
        <v>11</v>
      </c>
      <c r="D14651" s="5" t="s">
        <v>12</v>
      </c>
      <c r="E14651" s="5" t="s">
        <v>3962</v>
      </c>
    </row>
    <row r="14652" spans="1:5" x14ac:dyDescent="0.25">
      <c r="A14652" s="5">
        <f>14644</f>
      </c>
      <c r="B14652" s="5" t="s">
        <v>13923</v>
      </c>
      <c r="C14652" s="5" t="s">
        <v>11</v>
      </c>
      <c r="D14652" s="5" t="s">
        <v>12</v>
      </c>
      <c r="E14652" s="5" t="s">
        <v>2829</v>
      </c>
    </row>
    <row r="14653" spans="1:5" x14ac:dyDescent="0.25">
      <c r="A14653" s="5">
        <f>14645</f>
      </c>
      <c r="B14653" s="5" t="s">
        <v>13924</v>
      </c>
      <c r="C14653" s="5" t="s">
        <v>11</v>
      </c>
      <c r="D14653" s="5" t="s">
        <v>12</v>
      </c>
      <c r="E14653" s="5" t="s">
        <v>2829</v>
      </c>
    </row>
    <row r="14654" spans="1:5" x14ac:dyDescent="0.25">
      <c r="A14654" s="5">
        <f>14646</f>
      </c>
      <c r="B14654" s="5" t="s">
        <v>13925</v>
      </c>
      <c r="C14654" s="5" t="s">
        <v>11</v>
      </c>
      <c r="D14654" s="5" t="s">
        <v>12</v>
      </c>
      <c r="E14654" s="5" t="s">
        <v>2639</v>
      </c>
    </row>
    <row r="14655" spans="1:5" x14ac:dyDescent="0.25">
      <c r="A14655" s="5">
        <f>14647</f>
      </c>
      <c r="B14655" s="5" t="s">
        <v>13926</v>
      </c>
      <c r="C14655" s="5" t="s">
        <v>11</v>
      </c>
      <c r="D14655" s="5" t="s">
        <v>12</v>
      </c>
      <c r="E14655" s="5" t="s">
        <v>3754</v>
      </c>
    </row>
    <row r="14656" spans="1:5" x14ac:dyDescent="0.25">
      <c r="A14656" s="5">
        <f>14648</f>
      </c>
      <c r="B14656" s="5" t="s">
        <v>13927</v>
      </c>
      <c r="C14656" s="5" t="s">
        <v>11</v>
      </c>
      <c r="D14656" s="5" t="s">
        <v>12</v>
      </c>
      <c r="E14656" s="5" t="s">
        <v>2262</v>
      </c>
    </row>
    <row r="14657" spans="1:5" x14ac:dyDescent="0.25">
      <c r="A14657" s="5">
        <f>14649</f>
      </c>
      <c r="B14657" s="5" t="s">
        <v>13928</v>
      </c>
      <c r="C14657" s="5" t="s">
        <v>11</v>
      </c>
      <c r="D14657" s="5" t="s">
        <v>12</v>
      </c>
      <c r="E14657" s="5" t="s">
        <v>846</v>
      </c>
    </row>
    <row r="14658" spans="1:5" x14ac:dyDescent="0.25">
      <c r="A14658" s="5">
        <f>14650</f>
      </c>
      <c r="B14658" s="5" t="s">
        <v>13929</v>
      </c>
      <c r="C14658" s="5" t="s">
        <v>11</v>
      </c>
      <c r="D14658" s="5" t="s">
        <v>12</v>
      </c>
      <c r="E14658" s="5" t="s">
        <v>3716</v>
      </c>
    </row>
    <row r="14659" spans="1:5" x14ac:dyDescent="0.25">
      <c r="A14659" s="5">
        <f>14651</f>
      </c>
      <c r="B14659" s="5" t="s">
        <v>13930</v>
      </c>
      <c r="C14659" s="5" t="s">
        <v>11</v>
      </c>
      <c r="D14659" s="5" t="s">
        <v>12</v>
      </c>
      <c r="E14659" s="5" t="s">
        <v>720</v>
      </c>
    </row>
    <row r="14660" spans="1:5" x14ac:dyDescent="0.25">
      <c r="A14660" s="5">
        <f>14652</f>
      </c>
      <c r="B14660" s="5" t="s">
        <v>13931</v>
      </c>
      <c r="C14660" s="5" t="s">
        <v>11</v>
      </c>
      <c r="D14660" s="5" t="s">
        <v>12</v>
      </c>
      <c r="E14660" s="5" t="s">
        <v>2819</v>
      </c>
    </row>
    <row r="14661" spans="1:5" x14ac:dyDescent="0.25">
      <c r="A14661" s="5">
        <f>14653</f>
      </c>
      <c r="B14661" s="5" t="s">
        <v>13932</v>
      </c>
      <c r="C14661" s="5" t="s">
        <v>11</v>
      </c>
      <c r="D14661" s="5" t="s">
        <v>12</v>
      </c>
      <c r="E14661" s="5" t="s">
        <v>2579</v>
      </c>
    </row>
    <row r="14662" spans="1:5" x14ac:dyDescent="0.25">
      <c r="A14662" s="5">
        <f>14654</f>
      </c>
      <c r="B14662" s="5" t="s">
        <v>13933</v>
      </c>
      <c r="C14662" s="5" t="s">
        <v>11</v>
      </c>
      <c r="D14662" s="5" t="s">
        <v>12</v>
      </c>
      <c r="E14662" s="5" t="s">
        <v>4142</v>
      </c>
    </row>
    <row r="14663" spans="1:5" x14ac:dyDescent="0.25">
      <c r="A14663" s="5">
        <f>14655</f>
      </c>
      <c r="B14663" s="5" t="s">
        <v>13934</v>
      </c>
      <c r="C14663" s="5" t="s">
        <v>11</v>
      </c>
      <c r="D14663" s="5" t="s">
        <v>12</v>
      </c>
      <c r="E14663" s="5" t="s">
        <v>2648</v>
      </c>
    </row>
    <row r="14664" spans="1:5" x14ac:dyDescent="0.25">
      <c r="A14664" s="5">
        <f>14656</f>
      </c>
      <c r="B14664" s="5" t="s">
        <v>13935</v>
      </c>
      <c r="C14664" s="5" t="s">
        <v>11</v>
      </c>
      <c r="D14664" s="5" t="s">
        <v>12</v>
      </c>
      <c r="E14664" s="5" t="s">
        <v>2579</v>
      </c>
    </row>
    <row r="14665" spans="1:5" x14ac:dyDescent="0.25">
      <c r="A14665" s="5">
        <f>14657</f>
      </c>
      <c r="B14665" s="5" t="s">
        <v>13936</v>
      </c>
      <c r="C14665" s="5" t="s">
        <v>11</v>
      </c>
      <c r="D14665" s="5" t="s">
        <v>12</v>
      </c>
      <c r="E14665" s="5" t="s">
        <v>2665</v>
      </c>
    </row>
    <row r="14666" spans="1:5" x14ac:dyDescent="0.25">
      <c r="A14666" s="5">
        <f>14658</f>
      </c>
      <c r="B14666" s="5" t="s">
        <v>13937</v>
      </c>
      <c r="C14666" s="5" t="s">
        <v>11</v>
      </c>
      <c r="D14666" s="5" t="s">
        <v>12</v>
      </c>
      <c r="E14666" s="5" t="s">
        <v>3869</v>
      </c>
    </row>
    <row r="14667" spans="1:5" x14ac:dyDescent="0.25">
      <c r="A14667" s="5">
        <f>14659</f>
      </c>
      <c r="B14667" s="5" t="s">
        <v>13938</v>
      </c>
      <c r="C14667" s="5" t="s">
        <v>11</v>
      </c>
      <c r="D14667" s="5" t="s">
        <v>12</v>
      </c>
      <c r="E14667" s="5" t="s">
        <v>10739</v>
      </c>
    </row>
    <row r="14668" spans="1:5" x14ac:dyDescent="0.25">
      <c r="A14668" s="5">
        <f>14660</f>
      </c>
      <c r="B14668" s="5" t="s">
        <v>13939</v>
      </c>
      <c r="C14668" s="5" t="s">
        <v>11</v>
      </c>
      <c r="D14668" s="5" t="s">
        <v>12</v>
      </c>
      <c r="E14668" s="5" t="s">
        <v>4164</v>
      </c>
    </row>
    <row r="14669" spans="1:5" x14ac:dyDescent="0.25">
      <c r="A14669" s="5">
        <f>14661</f>
      </c>
      <c r="B14669" s="5" t="s">
        <v>13940</v>
      </c>
      <c r="C14669" s="5" t="s">
        <v>11</v>
      </c>
      <c r="D14669" s="5" t="s">
        <v>12</v>
      </c>
      <c r="E14669" s="5" t="s">
        <v>2325</v>
      </c>
    </row>
    <row r="14670" spans="1:5" x14ac:dyDescent="0.25">
      <c r="A14670" s="5">
        <f>14662</f>
      </c>
      <c r="B14670" s="5" t="s">
        <v>13941</v>
      </c>
      <c r="C14670" s="5" t="s">
        <v>11</v>
      </c>
      <c r="D14670" s="5" t="s">
        <v>12</v>
      </c>
      <c r="E14670" s="5" t="s">
        <v>3688</v>
      </c>
    </row>
    <row r="14671" spans="1:5" x14ac:dyDescent="0.25">
      <c r="A14671" s="5">
        <f>14663</f>
      </c>
      <c r="B14671" s="5" t="s">
        <v>13942</v>
      </c>
      <c r="C14671" s="5" t="s">
        <v>11</v>
      </c>
      <c r="D14671" s="5" t="s">
        <v>12</v>
      </c>
      <c r="E14671" s="5" t="s">
        <v>2298</v>
      </c>
    </row>
    <row r="14672" spans="1:5" x14ac:dyDescent="0.25">
      <c r="A14672" s="5">
        <f>14664</f>
      </c>
      <c r="B14672" s="5" t="s">
        <v>13943</v>
      </c>
      <c r="C14672" s="5" t="s">
        <v>11</v>
      </c>
      <c r="D14672" s="5" t="s">
        <v>12</v>
      </c>
      <c r="E14672" s="5" t="s">
        <v>3924</v>
      </c>
    </row>
    <row r="14673" spans="1:5" x14ac:dyDescent="0.25">
      <c r="A14673" s="5">
        <f>14665</f>
      </c>
      <c r="B14673" s="5" t="s">
        <v>13944</v>
      </c>
      <c r="C14673" s="5" t="s">
        <v>11</v>
      </c>
      <c r="D14673" s="5" t="s">
        <v>12</v>
      </c>
      <c r="E14673" s="5" t="s">
        <v>3589</v>
      </c>
    </row>
    <row r="14674" spans="1:5" x14ac:dyDescent="0.25">
      <c r="A14674" s="5">
        <f>14666</f>
      </c>
      <c r="B14674" s="5" t="s">
        <v>13945</v>
      </c>
      <c r="C14674" s="5" t="s">
        <v>11</v>
      </c>
      <c r="D14674" s="5" t="s">
        <v>12</v>
      </c>
      <c r="E14674" s="5" t="s">
        <v>734</v>
      </c>
    </row>
    <row r="14675" spans="1:5" x14ac:dyDescent="0.25">
      <c r="A14675" s="5">
        <f>14667</f>
      </c>
      <c r="B14675" s="5" t="s">
        <v>13946</v>
      </c>
      <c r="C14675" s="5" t="s">
        <v>11</v>
      </c>
      <c r="D14675" s="5" t="s">
        <v>12</v>
      </c>
      <c r="E14675" s="5" t="s">
        <v>3771</v>
      </c>
    </row>
    <row r="14676" spans="1:5" x14ac:dyDescent="0.25">
      <c r="A14676" s="5">
        <f>14668</f>
      </c>
      <c r="B14676" s="5" t="s">
        <v>13947</v>
      </c>
      <c r="C14676" s="5" t="s">
        <v>11</v>
      </c>
      <c r="D14676" s="5" t="s">
        <v>12</v>
      </c>
      <c r="E14676" s="5" t="s">
        <v>2255</v>
      </c>
    </row>
    <row r="14677" spans="1:5" x14ac:dyDescent="0.25">
      <c r="A14677" s="5">
        <f>14669</f>
      </c>
      <c r="B14677" s="5" t="s">
        <v>13948</v>
      </c>
      <c r="C14677" s="5" t="s">
        <v>11</v>
      </c>
      <c r="D14677" s="5" t="s">
        <v>12</v>
      </c>
      <c r="E14677" s="5" t="s">
        <v>2247</v>
      </c>
    </row>
    <row r="14678" spans="1:5" x14ac:dyDescent="0.25">
      <c r="A14678" s="5">
        <f>14670</f>
      </c>
      <c r="B14678" s="5" t="s">
        <v>13949</v>
      </c>
      <c r="C14678" s="5" t="s">
        <v>11</v>
      </c>
      <c r="D14678" s="5" t="s">
        <v>12</v>
      </c>
      <c r="E14678" s="5" t="s">
        <v>1028</v>
      </c>
    </row>
    <row r="14679" spans="1:5" x14ac:dyDescent="0.25">
      <c r="A14679" s="5">
        <f>14671</f>
      </c>
      <c r="B14679" s="5" t="s">
        <v>13950</v>
      </c>
      <c r="C14679" s="5" t="s">
        <v>11</v>
      </c>
      <c r="D14679" s="5" t="s">
        <v>12</v>
      </c>
      <c r="E14679" s="5" t="s">
        <v>3759</v>
      </c>
    </row>
    <row r="14680" spans="1:5" x14ac:dyDescent="0.25">
      <c r="A14680" s="5">
        <f>14672</f>
      </c>
      <c r="B14680" s="5" t="s">
        <v>13951</v>
      </c>
      <c r="C14680" s="5" t="s">
        <v>11</v>
      </c>
      <c r="D14680" s="5" t="s">
        <v>12</v>
      </c>
      <c r="E14680" s="5" t="s">
        <v>2285</v>
      </c>
    </row>
    <row r="14681" spans="1:5" x14ac:dyDescent="0.25">
      <c r="A14681" s="5">
        <f>14673</f>
      </c>
      <c r="B14681" s="5" t="s">
        <v>13952</v>
      </c>
      <c r="C14681" s="5" t="s">
        <v>11</v>
      </c>
      <c r="D14681" s="5" t="s">
        <v>12</v>
      </c>
      <c r="E14681" s="5" t="s">
        <v>3565</v>
      </c>
    </row>
    <row r="14682" spans="1:5" x14ac:dyDescent="0.25">
      <c r="A14682" s="5">
        <f>14674</f>
      </c>
      <c r="B14682" s="5" t="s">
        <v>13953</v>
      </c>
      <c r="C14682" s="5" t="s">
        <v>11</v>
      </c>
      <c r="D14682" s="5" t="s">
        <v>12</v>
      </c>
      <c r="E14682" s="5" t="s">
        <v>11414</v>
      </c>
    </row>
    <row r="14683" spans="1:5" x14ac:dyDescent="0.25">
      <c r="A14683" s="5">
        <f>14675</f>
      </c>
      <c r="B14683" s="5" t="s">
        <v>13954</v>
      </c>
      <c r="C14683" s="5" t="s">
        <v>11</v>
      </c>
      <c r="D14683" s="5" t="s">
        <v>12</v>
      </c>
      <c r="E14683" s="5" t="s">
        <v>3664</v>
      </c>
    </row>
    <row r="14684" spans="1:5" x14ac:dyDescent="0.25">
      <c r="A14684" s="5">
        <f>14676</f>
      </c>
      <c r="B14684" s="5" t="s">
        <v>13955</v>
      </c>
      <c r="C14684" s="5" t="s">
        <v>11</v>
      </c>
      <c r="D14684" s="5" t="s">
        <v>12</v>
      </c>
      <c r="E14684" s="5" t="s">
        <v>3664</v>
      </c>
    </row>
    <row r="14685" spans="1:5" x14ac:dyDescent="0.25">
      <c r="A14685" s="5">
        <f>14677</f>
      </c>
      <c r="B14685" s="5" t="s">
        <v>13956</v>
      </c>
      <c r="C14685" s="5" t="s">
        <v>11</v>
      </c>
      <c r="D14685" s="5" t="s">
        <v>12</v>
      </c>
      <c r="E14685" s="5" t="s">
        <v>1053</v>
      </c>
    </row>
    <row r="14686" spans="1:5" x14ac:dyDescent="0.25">
      <c r="A14686" s="5">
        <f>14678</f>
      </c>
      <c r="B14686" s="5" t="s">
        <v>13957</v>
      </c>
      <c r="C14686" s="5" t="s">
        <v>11</v>
      </c>
      <c r="D14686" s="5" t="s">
        <v>12</v>
      </c>
      <c r="E14686" s="5" t="s">
        <v>2251</v>
      </c>
    </row>
    <row r="14687" spans="1:5" x14ac:dyDescent="0.25">
      <c r="A14687" s="5">
        <f>14679</f>
      </c>
      <c r="B14687" s="5" t="s">
        <v>13958</v>
      </c>
      <c r="C14687" s="5" t="s">
        <v>11</v>
      </c>
      <c r="D14687" s="5" t="s">
        <v>12</v>
      </c>
      <c r="E14687" s="5" t="s">
        <v>3555</v>
      </c>
    </row>
    <row r="14688" spans="1:5" x14ac:dyDescent="0.25">
      <c r="A14688" s="5">
        <f>14680</f>
      </c>
      <c r="B14688" s="5" t="s">
        <v>13959</v>
      </c>
      <c r="C14688" s="5" t="s">
        <v>11</v>
      </c>
      <c r="D14688" s="5" t="s">
        <v>12</v>
      </c>
      <c r="E14688" s="5" t="s">
        <v>2829</v>
      </c>
    </row>
    <row r="14689" spans="1:5" x14ac:dyDescent="0.25">
      <c r="A14689" s="5">
        <f>14681</f>
      </c>
      <c r="B14689" s="5" t="s">
        <v>13960</v>
      </c>
      <c r="C14689" s="5" t="s">
        <v>11</v>
      </c>
      <c r="D14689" s="5" t="s">
        <v>12</v>
      </c>
      <c r="E14689" s="5" t="s">
        <v>734</v>
      </c>
    </row>
    <row r="14690" spans="1:5" x14ac:dyDescent="0.25">
      <c r="A14690" s="5">
        <f>14682</f>
      </c>
      <c r="B14690" s="5" t="s">
        <v>13961</v>
      </c>
      <c r="C14690" s="5" t="s">
        <v>11</v>
      </c>
      <c r="D14690" s="5" t="s">
        <v>12</v>
      </c>
      <c r="E14690" s="5" t="s">
        <v>2819</v>
      </c>
    </row>
    <row r="14691" spans="1:5" x14ac:dyDescent="0.25">
      <c r="A14691" s="5">
        <f>14683</f>
      </c>
      <c r="B14691" s="5" t="s">
        <v>13962</v>
      </c>
      <c r="C14691" s="5" t="s">
        <v>11</v>
      </c>
      <c r="D14691" s="5" t="s">
        <v>12</v>
      </c>
      <c r="E14691" s="5" t="s">
        <v>718</v>
      </c>
    </row>
    <row r="14692" spans="1:5" x14ac:dyDescent="0.25">
      <c r="A14692" s="5">
        <f>14684</f>
      </c>
      <c r="B14692" s="5" t="s">
        <v>13963</v>
      </c>
      <c r="C14692" s="5" t="s">
        <v>11</v>
      </c>
      <c r="D14692" s="5" t="s">
        <v>12</v>
      </c>
      <c r="E14692" s="5" t="s">
        <v>3723</v>
      </c>
    </row>
    <row r="14693" spans="1:5" x14ac:dyDescent="0.25">
      <c r="A14693" s="5">
        <f>14685</f>
      </c>
      <c r="B14693" s="5" t="s">
        <v>13964</v>
      </c>
      <c r="C14693" s="5" t="s">
        <v>11</v>
      </c>
      <c r="D14693" s="5" t="s">
        <v>12</v>
      </c>
      <c r="E14693" s="5" t="s">
        <v>2325</v>
      </c>
    </row>
    <row r="14694" spans="1:5" x14ac:dyDescent="0.25">
      <c r="A14694" s="5">
        <f>14686</f>
      </c>
      <c r="B14694" s="5" t="s">
        <v>13965</v>
      </c>
      <c r="C14694" s="5" t="s">
        <v>11</v>
      </c>
      <c r="D14694" s="5" t="s">
        <v>12</v>
      </c>
      <c r="E14694" s="5" t="s">
        <v>2596</v>
      </c>
    </row>
    <row r="14695" spans="1:5" x14ac:dyDescent="0.25">
      <c r="A14695" s="5">
        <f>14687</f>
      </c>
      <c r="B14695" s="5" t="s">
        <v>13966</v>
      </c>
      <c r="C14695" s="5" t="s">
        <v>11</v>
      </c>
      <c r="D14695" s="5" t="s">
        <v>12</v>
      </c>
      <c r="E14695" s="5" t="s">
        <v>957</v>
      </c>
    </row>
    <row r="14696" spans="1:5" x14ac:dyDescent="0.25">
      <c r="A14696" s="5">
        <f>14688</f>
      </c>
      <c r="B14696" s="5" t="s">
        <v>13967</v>
      </c>
      <c r="C14696" s="5" t="s">
        <v>11</v>
      </c>
      <c r="D14696" s="5" t="s">
        <v>12</v>
      </c>
      <c r="E14696" s="5" t="s">
        <v>3555</v>
      </c>
    </row>
    <row r="14697" spans="1:5" x14ac:dyDescent="0.25">
      <c r="A14697" s="5">
        <f>14689</f>
      </c>
      <c r="B14697" s="5" t="s">
        <v>13968</v>
      </c>
      <c r="C14697" s="5" t="s">
        <v>11</v>
      </c>
      <c r="D14697" s="5" t="s">
        <v>12</v>
      </c>
      <c r="E14697" s="5" t="s">
        <v>2614</v>
      </c>
    </row>
    <row r="14698" spans="1:5" x14ac:dyDescent="0.25">
      <c r="A14698" s="5">
        <f>14690</f>
      </c>
      <c r="B14698" s="5" t="s">
        <v>13969</v>
      </c>
      <c r="C14698" s="5" t="s">
        <v>11</v>
      </c>
      <c r="D14698" s="5" t="s">
        <v>12</v>
      </c>
      <c r="E14698" s="5" t="s">
        <v>2333</v>
      </c>
    </row>
    <row r="14699" spans="1:5" x14ac:dyDescent="0.25">
      <c r="A14699" s="5">
        <f>14691</f>
      </c>
      <c r="B14699" s="5" t="s">
        <v>13970</v>
      </c>
      <c r="C14699" s="5" t="s">
        <v>11</v>
      </c>
      <c r="D14699" s="5" t="s">
        <v>12</v>
      </c>
      <c r="E14699" s="5" t="s">
        <v>3543</v>
      </c>
    </row>
    <row r="14700" spans="1:5" x14ac:dyDescent="0.25">
      <c r="A14700" s="5">
        <f>14692</f>
      </c>
      <c r="B14700" s="5" t="s">
        <v>13971</v>
      </c>
      <c r="C14700" s="5" t="s">
        <v>11</v>
      </c>
      <c r="D14700" s="5" t="s">
        <v>12</v>
      </c>
      <c r="E14700" s="5" t="s">
        <v>10574</v>
      </c>
    </row>
    <row r="14701" spans="1:5" x14ac:dyDescent="0.25">
      <c r="A14701" s="5">
        <f>14693</f>
      </c>
      <c r="B14701" s="5" t="s">
        <v>13972</v>
      </c>
      <c r="C14701" s="5" t="s">
        <v>11</v>
      </c>
      <c r="D14701" s="5" t="s">
        <v>12</v>
      </c>
      <c r="E14701" s="5" t="s">
        <v>1022</v>
      </c>
    </row>
    <row r="14702" spans="1:5" x14ac:dyDescent="0.25">
      <c r="A14702" s="5">
        <f>14694</f>
      </c>
      <c r="B14702" s="5" t="s">
        <v>13973</v>
      </c>
      <c r="C14702" s="5" t="s">
        <v>11</v>
      </c>
      <c r="D14702" s="5" t="s">
        <v>12</v>
      </c>
      <c r="E14702" s="5" t="s">
        <v>2400</v>
      </c>
    </row>
    <row r="14703" spans="1:5" x14ac:dyDescent="0.25">
      <c r="A14703" s="5">
        <f>14695</f>
      </c>
      <c r="B14703" s="5" t="s">
        <v>13974</v>
      </c>
      <c r="C14703" s="5" t="s">
        <v>11</v>
      </c>
      <c r="D14703" s="5" t="s">
        <v>12</v>
      </c>
      <c r="E14703" s="5" t="s">
        <v>2400</v>
      </c>
    </row>
    <row r="14704" spans="1:5" x14ac:dyDescent="0.25">
      <c r="A14704" s="5">
        <f>14696</f>
      </c>
      <c r="B14704" s="5" t="s">
        <v>13975</v>
      </c>
      <c r="C14704" s="5" t="s">
        <v>11</v>
      </c>
      <c r="D14704" s="5" t="s">
        <v>12</v>
      </c>
      <c r="E14704" s="5" t="s">
        <v>724</v>
      </c>
    </row>
    <row r="14705" spans="1:5" x14ac:dyDescent="0.25">
      <c r="A14705" s="5">
        <f>14697</f>
      </c>
      <c r="B14705" s="5" t="s">
        <v>13976</v>
      </c>
      <c r="C14705" s="5" t="s">
        <v>11</v>
      </c>
      <c r="D14705" s="5" t="s">
        <v>12</v>
      </c>
      <c r="E14705" s="5" t="s">
        <v>2823</v>
      </c>
    </row>
    <row r="14706" spans="1:5" x14ac:dyDescent="0.25">
      <c r="A14706" s="5">
        <f>14698</f>
      </c>
      <c r="B14706" s="5" t="s">
        <v>13977</v>
      </c>
      <c r="C14706" s="5" t="s">
        <v>11</v>
      </c>
      <c r="D14706" s="5" t="s">
        <v>12</v>
      </c>
      <c r="E14706" s="5" t="s">
        <v>3664</v>
      </c>
    </row>
    <row r="14707" spans="1:5" x14ac:dyDescent="0.25">
      <c r="A14707" s="5">
        <f>14699</f>
      </c>
      <c r="B14707" s="5" t="s">
        <v>13978</v>
      </c>
      <c r="C14707" s="5" t="s">
        <v>11</v>
      </c>
      <c r="D14707" s="5" t="s">
        <v>12</v>
      </c>
      <c r="E14707" s="5" t="s">
        <v>3490</v>
      </c>
    </row>
    <row r="14708" spans="1:5" x14ac:dyDescent="0.25">
      <c r="A14708" s="5">
        <f>14700</f>
      </c>
      <c r="B14708" s="5" t="s">
        <v>13979</v>
      </c>
      <c r="C14708" s="5" t="s">
        <v>11</v>
      </c>
      <c r="D14708" s="5" t="s">
        <v>12</v>
      </c>
      <c r="E14708" s="5" t="s">
        <v>1074</v>
      </c>
    </row>
    <row r="14709" spans="1:5" x14ac:dyDescent="0.25">
      <c r="A14709" s="5">
        <f>14701</f>
      </c>
      <c r="B14709" s="5" t="s">
        <v>13980</v>
      </c>
      <c r="C14709" s="5" t="s">
        <v>11</v>
      </c>
      <c r="D14709" s="5" t="s">
        <v>12</v>
      </c>
      <c r="E14709" s="5" t="s">
        <v>2335</v>
      </c>
    </row>
    <row r="14710" spans="1:5" x14ac:dyDescent="0.25">
      <c r="A14710" s="5">
        <f>14702</f>
      </c>
      <c r="B14710" s="5" t="s">
        <v>13981</v>
      </c>
      <c r="C14710" s="5" t="s">
        <v>11</v>
      </c>
      <c r="D14710" s="5" t="s">
        <v>12</v>
      </c>
      <c r="E14710" s="5" t="s">
        <v>3716</v>
      </c>
    </row>
    <row r="14711" spans="1:5" x14ac:dyDescent="0.25">
      <c r="A14711" s="5">
        <f>14703</f>
      </c>
      <c r="B14711" s="5" t="s">
        <v>13982</v>
      </c>
      <c r="C14711" s="5" t="s">
        <v>11</v>
      </c>
      <c r="D14711" s="5" t="s">
        <v>12</v>
      </c>
      <c r="E14711" s="5" t="s">
        <v>3716</v>
      </c>
    </row>
    <row r="14712" spans="1:5" x14ac:dyDescent="0.25">
      <c r="A14712" s="5">
        <f>14704</f>
      </c>
      <c r="B14712" s="5" t="s">
        <v>13983</v>
      </c>
      <c r="C14712" s="5" t="s">
        <v>11</v>
      </c>
      <c r="D14712" s="5" t="s">
        <v>12</v>
      </c>
      <c r="E14712" s="5" t="s">
        <v>3709</v>
      </c>
    </row>
    <row r="14713" spans="1:5" x14ac:dyDescent="0.25">
      <c r="A14713" s="5">
        <f>14705</f>
      </c>
      <c r="B14713" s="5" t="s">
        <v>13984</v>
      </c>
      <c r="C14713" s="5" t="s">
        <v>11</v>
      </c>
      <c r="D14713" s="5" t="s">
        <v>12</v>
      </c>
      <c r="E14713" s="5" t="s">
        <v>2622</v>
      </c>
    </row>
    <row r="14714" spans="1:5" x14ac:dyDescent="0.25">
      <c r="A14714" s="5">
        <f>14706</f>
      </c>
      <c r="B14714" s="5" t="s">
        <v>13985</v>
      </c>
      <c r="C14714" s="5" t="s">
        <v>11</v>
      </c>
      <c r="D14714" s="5" t="s">
        <v>12</v>
      </c>
      <c r="E14714" s="5" t="s">
        <v>2329</v>
      </c>
    </row>
    <row r="14715" spans="1:5" x14ac:dyDescent="0.25">
      <c r="A14715" s="5">
        <f>14707</f>
      </c>
      <c r="B14715" s="5" t="s">
        <v>13986</v>
      </c>
      <c r="C14715" s="5" t="s">
        <v>11</v>
      </c>
      <c r="D14715" s="5" t="s">
        <v>12</v>
      </c>
      <c r="E14715" s="5" t="s">
        <v>2840</v>
      </c>
    </row>
    <row r="14716" spans="1:5" x14ac:dyDescent="0.25">
      <c r="A14716" s="5">
        <f>14708</f>
      </c>
      <c r="B14716" s="5" t="s">
        <v>13987</v>
      </c>
      <c r="C14716" s="5" t="s">
        <v>11</v>
      </c>
      <c r="D14716" s="5" t="s">
        <v>12</v>
      </c>
      <c r="E14716" s="5" t="s">
        <v>924</v>
      </c>
    </row>
    <row r="14717" spans="1:5" x14ac:dyDescent="0.25">
      <c r="A14717" s="5">
        <f>14709</f>
      </c>
      <c r="B14717" s="5" t="s">
        <v>13988</v>
      </c>
      <c r="C14717" s="5" t="s">
        <v>11</v>
      </c>
      <c r="D14717" s="5" t="s">
        <v>12</v>
      </c>
      <c r="E14717" s="5" t="s">
        <v>2594</v>
      </c>
    </row>
    <row r="14718" spans="1:5" x14ac:dyDescent="0.25">
      <c r="A14718" s="5">
        <f>14710</f>
      </c>
      <c r="B14718" s="5" t="s">
        <v>13989</v>
      </c>
      <c r="C14718" s="5" t="s">
        <v>11</v>
      </c>
      <c r="D14718" s="5" t="s">
        <v>12</v>
      </c>
      <c r="E14718" s="5" t="s">
        <v>2592</v>
      </c>
    </row>
    <row r="14719" spans="1:5" x14ac:dyDescent="0.25">
      <c r="A14719" s="5">
        <f>14711</f>
      </c>
      <c r="B14719" s="5" t="s">
        <v>13990</v>
      </c>
      <c r="C14719" s="5" t="s">
        <v>11</v>
      </c>
      <c r="D14719" s="5" t="s">
        <v>12</v>
      </c>
      <c r="E14719" s="5" t="s">
        <v>3589</v>
      </c>
    </row>
    <row r="14720" spans="1:5" x14ac:dyDescent="0.25">
      <c r="A14720" s="5">
        <f>14712</f>
      </c>
      <c r="B14720" s="5" t="s">
        <v>13991</v>
      </c>
      <c r="C14720" s="5" t="s">
        <v>11</v>
      </c>
      <c r="D14720" s="5" t="s">
        <v>12</v>
      </c>
      <c r="E14720" s="5" t="s">
        <v>3589</v>
      </c>
    </row>
    <row r="14721" spans="1:5" x14ac:dyDescent="0.25">
      <c r="A14721" s="5">
        <f>14713</f>
      </c>
      <c r="B14721" s="5" t="s">
        <v>13992</v>
      </c>
      <c r="C14721" s="5" t="s">
        <v>11</v>
      </c>
      <c r="D14721" s="5" t="s">
        <v>12</v>
      </c>
      <c r="E14721" s="5" t="s">
        <v>3589</v>
      </c>
    </row>
    <row r="14722" spans="1:5" x14ac:dyDescent="0.25">
      <c r="A14722" s="5">
        <f>14714</f>
      </c>
      <c r="B14722" s="5" t="s">
        <v>13993</v>
      </c>
      <c r="C14722" s="5" t="s">
        <v>11</v>
      </c>
      <c r="D14722" s="5" t="s">
        <v>12</v>
      </c>
      <c r="E14722" s="5" t="s">
        <v>3589</v>
      </c>
    </row>
    <row r="14723" spans="1:5" x14ac:dyDescent="0.25">
      <c r="A14723" s="5">
        <f>14715</f>
      </c>
      <c r="B14723" s="5" t="s">
        <v>13994</v>
      </c>
      <c r="C14723" s="5" t="s">
        <v>11</v>
      </c>
      <c r="D14723" s="5" t="s">
        <v>12</v>
      </c>
      <c r="E14723" s="5" t="s">
        <v>3589</v>
      </c>
    </row>
    <row r="14724" spans="1:5" x14ac:dyDescent="0.25">
      <c r="A14724" s="5">
        <f>14716</f>
      </c>
      <c r="B14724" s="5" t="s">
        <v>13995</v>
      </c>
      <c r="C14724" s="5" t="s">
        <v>11</v>
      </c>
      <c r="D14724" s="5" t="s">
        <v>12</v>
      </c>
      <c r="E14724" s="5" t="s">
        <v>3589</v>
      </c>
    </row>
    <row r="14725" spans="1:5" x14ac:dyDescent="0.25">
      <c r="A14725" s="5">
        <f>14717</f>
      </c>
      <c r="B14725" s="5" t="s">
        <v>13996</v>
      </c>
      <c r="C14725" s="5" t="s">
        <v>11</v>
      </c>
      <c r="D14725" s="5" t="s">
        <v>12</v>
      </c>
      <c r="E14725" s="5" t="s">
        <v>3589</v>
      </c>
    </row>
    <row r="14726" spans="1:5" x14ac:dyDescent="0.25">
      <c r="A14726" s="5">
        <f>14718</f>
      </c>
      <c r="B14726" s="5" t="s">
        <v>13997</v>
      </c>
      <c r="C14726" s="5" t="s">
        <v>11</v>
      </c>
      <c r="D14726" s="5" t="s">
        <v>12</v>
      </c>
      <c r="E14726" s="5" t="s">
        <v>3589</v>
      </c>
    </row>
    <row r="14727" spans="1:5" x14ac:dyDescent="0.25">
      <c r="A14727" s="5">
        <f>14719</f>
      </c>
      <c r="B14727" s="5" t="s">
        <v>13998</v>
      </c>
      <c r="C14727" s="5" t="s">
        <v>11</v>
      </c>
      <c r="D14727" s="5" t="s">
        <v>12</v>
      </c>
      <c r="E14727" s="5" t="s">
        <v>3589</v>
      </c>
    </row>
    <row r="14728" spans="1:5" x14ac:dyDescent="0.25">
      <c r="A14728" s="5">
        <f>14720</f>
      </c>
      <c r="B14728" s="5" t="s">
        <v>13999</v>
      </c>
      <c r="C14728" s="5" t="s">
        <v>11</v>
      </c>
      <c r="D14728" s="5" t="s">
        <v>12</v>
      </c>
      <c r="E14728" s="5" t="s">
        <v>3589</v>
      </c>
    </row>
    <row r="14729" spans="1:5" x14ac:dyDescent="0.25">
      <c r="A14729" s="5">
        <f>14721</f>
      </c>
      <c r="B14729" s="5" t="s">
        <v>14000</v>
      </c>
      <c r="C14729" s="5" t="s">
        <v>11</v>
      </c>
      <c r="D14729" s="5" t="s">
        <v>12</v>
      </c>
      <c r="E14729" s="5" t="s">
        <v>3589</v>
      </c>
    </row>
    <row r="14730" spans="1:5" x14ac:dyDescent="0.25">
      <c r="A14730" s="5">
        <f>14722</f>
      </c>
      <c r="B14730" s="5" t="s">
        <v>14001</v>
      </c>
      <c r="C14730" s="5" t="s">
        <v>11</v>
      </c>
      <c r="D14730" s="5" t="s">
        <v>12</v>
      </c>
      <c r="E14730" s="5" t="s">
        <v>3589</v>
      </c>
    </row>
    <row r="14731" spans="1:5" x14ac:dyDescent="0.25">
      <c r="A14731" s="5">
        <f>14723</f>
      </c>
      <c r="B14731" s="5" t="s">
        <v>14002</v>
      </c>
      <c r="C14731" s="5" t="s">
        <v>11</v>
      </c>
      <c r="D14731" s="5" t="s">
        <v>12</v>
      </c>
      <c r="E14731" s="5" t="s">
        <v>3589</v>
      </c>
    </row>
    <row r="14732" spans="1:5" x14ac:dyDescent="0.25">
      <c r="A14732" s="5">
        <f>14724</f>
      </c>
      <c r="B14732" s="5" t="s">
        <v>14003</v>
      </c>
      <c r="C14732" s="5" t="s">
        <v>11</v>
      </c>
      <c r="D14732" s="5" t="s">
        <v>12</v>
      </c>
      <c r="E14732" s="5" t="s">
        <v>3589</v>
      </c>
    </row>
    <row r="14733" spans="1:5" x14ac:dyDescent="0.25">
      <c r="A14733" s="5">
        <f>14725</f>
      </c>
      <c r="B14733" s="5" t="s">
        <v>14004</v>
      </c>
      <c r="C14733" s="5" t="s">
        <v>11</v>
      </c>
      <c r="D14733" s="5" t="s">
        <v>12</v>
      </c>
      <c r="E14733" s="5" t="s">
        <v>3589</v>
      </c>
    </row>
    <row r="14734" spans="1:5" x14ac:dyDescent="0.25">
      <c r="A14734" s="5">
        <f>14726</f>
      </c>
      <c r="B14734" s="5" t="s">
        <v>14005</v>
      </c>
      <c r="C14734" s="5" t="s">
        <v>11</v>
      </c>
      <c r="D14734" s="5" t="s">
        <v>12</v>
      </c>
      <c r="E14734" s="5" t="s">
        <v>3589</v>
      </c>
    </row>
    <row r="14735" spans="1:5" x14ac:dyDescent="0.25">
      <c r="A14735" s="5">
        <f>14727</f>
      </c>
      <c r="B14735" s="5" t="s">
        <v>14006</v>
      </c>
      <c r="C14735" s="5" t="s">
        <v>11</v>
      </c>
      <c r="D14735" s="5" t="s">
        <v>12</v>
      </c>
      <c r="E14735" s="5" t="s">
        <v>3589</v>
      </c>
    </row>
    <row r="14736" spans="1:5" x14ac:dyDescent="0.25">
      <c r="A14736" s="5">
        <f>14728</f>
      </c>
      <c r="B14736" s="5" t="s">
        <v>14007</v>
      </c>
      <c r="C14736" s="5" t="s">
        <v>11</v>
      </c>
      <c r="D14736" s="5" t="s">
        <v>12</v>
      </c>
      <c r="E14736" s="5" t="s">
        <v>3589</v>
      </c>
    </row>
    <row r="14737" spans="1:5" x14ac:dyDescent="0.25">
      <c r="A14737" s="5">
        <f>14729</f>
      </c>
      <c r="B14737" s="5" t="s">
        <v>14008</v>
      </c>
      <c r="C14737" s="5" t="s">
        <v>11</v>
      </c>
      <c r="D14737" s="5" t="s">
        <v>12</v>
      </c>
      <c r="E14737" s="5" t="s">
        <v>3589</v>
      </c>
    </row>
    <row r="14738" spans="1:5" x14ac:dyDescent="0.25">
      <c r="A14738" s="5">
        <f>14730</f>
      </c>
      <c r="B14738" s="5" t="s">
        <v>14009</v>
      </c>
      <c r="C14738" s="5" t="s">
        <v>11</v>
      </c>
      <c r="D14738" s="5" t="s">
        <v>12</v>
      </c>
      <c r="E14738" s="5" t="s">
        <v>3589</v>
      </c>
    </row>
    <row r="14739" spans="1:5" x14ac:dyDescent="0.25">
      <c r="A14739" s="5">
        <f>14731</f>
      </c>
      <c r="B14739" s="5" t="s">
        <v>14010</v>
      </c>
      <c r="C14739" s="5" t="s">
        <v>11</v>
      </c>
      <c r="D14739" s="5" t="s">
        <v>12</v>
      </c>
      <c r="E14739" s="5" t="s">
        <v>3589</v>
      </c>
    </row>
    <row r="14740" spans="1:5" x14ac:dyDescent="0.25">
      <c r="A14740" s="5">
        <f>14732</f>
      </c>
      <c r="B14740" s="5" t="s">
        <v>14011</v>
      </c>
      <c r="C14740" s="5" t="s">
        <v>11</v>
      </c>
      <c r="D14740" s="5" t="s">
        <v>12</v>
      </c>
      <c r="E14740" s="5" t="s">
        <v>3589</v>
      </c>
    </row>
    <row r="14741" spans="1:5" x14ac:dyDescent="0.25">
      <c r="A14741" s="5">
        <f>14733</f>
      </c>
      <c r="B14741" s="5" t="s">
        <v>14012</v>
      </c>
      <c r="C14741" s="5" t="s">
        <v>11</v>
      </c>
      <c r="D14741" s="5" t="s">
        <v>12</v>
      </c>
      <c r="E14741" s="5" t="s">
        <v>3589</v>
      </c>
    </row>
    <row r="14742" spans="1:5" x14ac:dyDescent="0.25">
      <c r="A14742" s="5">
        <f>14734</f>
      </c>
      <c r="B14742" s="5" t="s">
        <v>14013</v>
      </c>
      <c r="C14742" s="5" t="s">
        <v>11</v>
      </c>
      <c r="D14742" s="5" t="s">
        <v>12</v>
      </c>
      <c r="E14742" s="5" t="s">
        <v>3589</v>
      </c>
    </row>
    <row r="14743" spans="1:5" x14ac:dyDescent="0.25">
      <c r="A14743" s="5">
        <f>14735</f>
      </c>
      <c r="B14743" s="5" t="s">
        <v>14014</v>
      </c>
      <c r="C14743" s="5" t="s">
        <v>11</v>
      </c>
      <c r="D14743" s="5" t="s">
        <v>12</v>
      </c>
      <c r="E14743" s="5" t="s">
        <v>3589</v>
      </c>
    </row>
    <row r="14744" spans="1:5" x14ac:dyDescent="0.25">
      <c r="A14744" s="5">
        <f>14736</f>
      </c>
      <c r="B14744" s="5" t="s">
        <v>14015</v>
      </c>
      <c r="C14744" s="5" t="s">
        <v>11</v>
      </c>
      <c r="D14744" s="5" t="s">
        <v>12</v>
      </c>
      <c r="E14744" s="5" t="s">
        <v>3589</v>
      </c>
    </row>
    <row r="14745" spans="1:5" x14ac:dyDescent="0.25">
      <c r="A14745" s="5">
        <f>14737</f>
      </c>
      <c r="B14745" s="5" t="s">
        <v>14016</v>
      </c>
      <c r="C14745" s="5" t="s">
        <v>11</v>
      </c>
      <c r="D14745" s="5" t="s">
        <v>12</v>
      </c>
      <c r="E14745" s="5" t="s">
        <v>3589</v>
      </c>
    </row>
    <row r="14746" spans="1:5" x14ac:dyDescent="0.25">
      <c r="A14746" s="5">
        <f>14738</f>
      </c>
      <c r="B14746" s="5" t="s">
        <v>14017</v>
      </c>
      <c r="C14746" s="5" t="s">
        <v>11</v>
      </c>
      <c r="D14746" s="5" t="s">
        <v>12</v>
      </c>
      <c r="E14746" s="5" t="s">
        <v>3589</v>
      </c>
    </row>
    <row r="14747" spans="1:5" x14ac:dyDescent="0.25">
      <c r="A14747" s="5">
        <f>14739</f>
      </c>
      <c r="B14747" s="5" t="s">
        <v>14018</v>
      </c>
      <c r="C14747" s="5" t="s">
        <v>11</v>
      </c>
      <c r="D14747" s="5" t="s">
        <v>12</v>
      </c>
      <c r="E14747" s="5" t="s">
        <v>3589</v>
      </c>
    </row>
    <row r="14748" spans="1:5" x14ac:dyDescent="0.25">
      <c r="A14748" s="5">
        <f>14740</f>
      </c>
      <c r="B14748" s="5" t="s">
        <v>14019</v>
      </c>
      <c r="C14748" s="5" t="s">
        <v>11</v>
      </c>
      <c r="D14748" s="5" t="s">
        <v>12</v>
      </c>
      <c r="E14748" s="5" t="s">
        <v>3589</v>
      </c>
    </row>
    <row r="14749" spans="1:5" x14ac:dyDescent="0.25">
      <c r="A14749" s="5">
        <f>14741</f>
      </c>
      <c r="B14749" s="5" t="s">
        <v>14020</v>
      </c>
      <c r="C14749" s="5" t="s">
        <v>11</v>
      </c>
      <c r="D14749" s="5" t="s">
        <v>12</v>
      </c>
      <c r="E14749" s="5" t="s">
        <v>3589</v>
      </c>
    </row>
    <row r="14750" spans="1:5" x14ac:dyDescent="0.25">
      <c r="A14750" s="5">
        <f>14742</f>
      </c>
      <c r="B14750" s="5" t="s">
        <v>14021</v>
      </c>
      <c r="C14750" s="5" t="s">
        <v>11</v>
      </c>
      <c r="D14750" s="5" t="s">
        <v>12</v>
      </c>
      <c r="E14750" s="5" t="s">
        <v>3589</v>
      </c>
    </row>
    <row r="14751" spans="1:5" x14ac:dyDescent="0.25">
      <c r="A14751" s="5">
        <f>14743</f>
      </c>
      <c r="B14751" s="5" t="s">
        <v>14022</v>
      </c>
      <c r="C14751" s="5" t="s">
        <v>11</v>
      </c>
      <c r="D14751" s="5" t="s">
        <v>12</v>
      </c>
      <c r="E14751" s="5" t="s">
        <v>3589</v>
      </c>
    </row>
    <row r="14752" spans="1:5" x14ac:dyDescent="0.25">
      <c r="A14752" s="5">
        <f>14744</f>
      </c>
      <c r="B14752" s="5" t="s">
        <v>14023</v>
      </c>
      <c r="C14752" s="5" t="s">
        <v>11</v>
      </c>
      <c r="D14752" s="5" t="s">
        <v>12</v>
      </c>
      <c r="E14752" s="5" t="s">
        <v>3589</v>
      </c>
    </row>
    <row r="14753" spans="1:5" x14ac:dyDescent="0.25">
      <c r="A14753" s="5">
        <f>14745</f>
      </c>
      <c r="B14753" s="5" t="s">
        <v>14024</v>
      </c>
      <c r="C14753" s="5" t="s">
        <v>11</v>
      </c>
      <c r="D14753" s="5" t="s">
        <v>12</v>
      </c>
      <c r="E14753" s="5" t="s">
        <v>3589</v>
      </c>
    </row>
    <row r="14754" spans="1:5" x14ac:dyDescent="0.25">
      <c r="A14754" s="5">
        <f>14746</f>
      </c>
      <c r="B14754" s="5" t="s">
        <v>14025</v>
      </c>
      <c r="C14754" s="5" t="s">
        <v>11</v>
      </c>
      <c r="D14754" s="5" t="s">
        <v>12</v>
      </c>
      <c r="E14754" s="5" t="s">
        <v>3589</v>
      </c>
    </row>
    <row r="14755" spans="1:5" x14ac:dyDescent="0.25">
      <c r="A14755" s="5">
        <f>14747</f>
      </c>
      <c r="B14755" s="5" t="s">
        <v>14026</v>
      </c>
      <c r="C14755" s="5" t="s">
        <v>11</v>
      </c>
      <c r="D14755" s="5" t="s">
        <v>12</v>
      </c>
      <c r="E14755" s="5" t="s">
        <v>3589</v>
      </c>
    </row>
    <row r="14756" spans="1:5" x14ac:dyDescent="0.25">
      <c r="A14756" s="5">
        <f>14748</f>
      </c>
      <c r="B14756" s="5" t="s">
        <v>14027</v>
      </c>
      <c r="C14756" s="5" t="s">
        <v>11</v>
      </c>
      <c r="D14756" s="5" t="s">
        <v>12</v>
      </c>
      <c r="E14756" s="5" t="s">
        <v>3589</v>
      </c>
    </row>
    <row r="14757" spans="1:5" x14ac:dyDescent="0.25">
      <c r="A14757" s="5">
        <f>14749</f>
      </c>
      <c r="B14757" s="5" t="s">
        <v>14028</v>
      </c>
      <c r="C14757" s="5" t="s">
        <v>11</v>
      </c>
      <c r="D14757" s="5" t="s">
        <v>12</v>
      </c>
      <c r="E14757" s="5" t="s">
        <v>3589</v>
      </c>
    </row>
    <row r="14758" spans="1:5" x14ac:dyDescent="0.25">
      <c r="A14758" s="5">
        <f>14750</f>
      </c>
      <c r="B14758" s="5" t="s">
        <v>14029</v>
      </c>
      <c r="C14758" s="5" t="s">
        <v>11</v>
      </c>
      <c r="D14758" s="5" t="s">
        <v>12</v>
      </c>
      <c r="E14758" s="5" t="s">
        <v>3589</v>
      </c>
    </row>
    <row r="14759" spans="1:5" x14ac:dyDescent="0.25">
      <c r="A14759" s="5">
        <f>14751</f>
      </c>
      <c r="B14759" s="5" t="s">
        <v>14030</v>
      </c>
      <c r="C14759" s="5" t="s">
        <v>11</v>
      </c>
      <c r="D14759" s="5" t="s">
        <v>12</v>
      </c>
      <c r="E14759" s="5" t="s">
        <v>3589</v>
      </c>
    </row>
    <row r="14760" spans="1:5" x14ac:dyDescent="0.25">
      <c r="A14760" s="5">
        <f>14752</f>
      </c>
      <c r="B14760" s="5" t="s">
        <v>14031</v>
      </c>
      <c r="C14760" s="5" t="s">
        <v>11</v>
      </c>
      <c r="D14760" s="5" t="s">
        <v>12</v>
      </c>
      <c r="E14760" s="5" t="s">
        <v>3589</v>
      </c>
    </row>
    <row r="14761" spans="1:5" x14ac:dyDescent="0.25">
      <c r="A14761" s="5">
        <f>14753</f>
      </c>
      <c r="B14761" s="5" t="s">
        <v>14032</v>
      </c>
      <c r="C14761" s="5" t="s">
        <v>11</v>
      </c>
      <c r="D14761" s="5" t="s">
        <v>12</v>
      </c>
      <c r="E14761" s="5" t="s">
        <v>3589</v>
      </c>
    </row>
    <row r="14762" spans="1:5" x14ac:dyDescent="0.25">
      <c r="A14762" s="5">
        <f>14754</f>
      </c>
      <c r="B14762" s="5" t="s">
        <v>14033</v>
      </c>
      <c r="C14762" s="5" t="s">
        <v>11</v>
      </c>
      <c r="D14762" s="5" t="s">
        <v>12</v>
      </c>
      <c r="E14762" s="5" t="s">
        <v>3589</v>
      </c>
    </row>
    <row r="14763" spans="1:5" x14ac:dyDescent="0.25">
      <c r="A14763" s="5">
        <f>14755</f>
      </c>
      <c r="B14763" s="5" t="s">
        <v>14034</v>
      </c>
      <c r="C14763" s="5" t="s">
        <v>11</v>
      </c>
      <c r="D14763" s="5" t="s">
        <v>12</v>
      </c>
      <c r="E14763" s="5" t="s">
        <v>3589</v>
      </c>
    </row>
    <row r="14764" spans="1:5" x14ac:dyDescent="0.25">
      <c r="A14764" s="5">
        <f>14756</f>
      </c>
      <c r="B14764" s="5" t="s">
        <v>14035</v>
      </c>
      <c r="C14764" s="5" t="s">
        <v>11</v>
      </c>
      <c r="D14764" s="5" t="s">
        <v>12</v>
      </c>
      <c r="E14764" s="5" t="s">
        <v>3589</v>
      </c>
    </row>
    <row r="14765" spans="1:5" x14ac:dyDescent="0.25">
      <c r="A14765" s="5">
        <f>14757</f>
      </c>
      <c r="B14765" s="5" t="s">
        <v>14036</v>
      </c>
      <c r="C14765" s="5" t="s">
        <v>11</v>
      </c>
      <c r="D14765" s="5" t="s">
        <v>12</v>
      </c>
      <c r="E14765" s="5" t="s">
        <v>3589</v>
      </c>
    </row>
    <row r="14766" spans="1:5" x14ac:dyDescent="0.25">
      <c r="A14766" s="5">
        <f>14758</f>
      </c>
      <c r="B14766" s="5" t="s">
        <v>14037</v>
      </c>
      <c r="C14766" s="5" t="s">
        <v>11</v>
      </c>
      <c r="D14766" s="5" t="s">
        <v>12</v>
      </c>
      <c r="E14766" s="5" t="s">
        <v>3589</v>
      </c>
    </row>
    <row r="14767" spans="1:5" x14ac:dyDescent="0.25">
      <c r="A14767" s="5">
        <f>14759</f>
      </c>
      <c r="B14767" s="5" t="s">
        <v>14038</v>
      </c>
      <c r="C14767" s="5" t="s">
        <v>11</v>
      </c>
      <c r="D14767" s="5" t="s">
        <v>12</v>
      </c>
      <c r="E14767" s="5" t="s">
        <v>3962</v>
      </c>
    </row>
    <row r="14768" spans="1:5" x14ac:dyDescent="0.25">
      <c r="A14768" s="5">
        <f>14760</f>
      </c>
      <c r="B14768" s="5" t="s">
        <v>14039</v>
      </c>
      <c r="C14768" s="5" t="s">
        <v>11</v>
      </c>
      <c r="D14768" s="5" t="s">
        <v>12</v>
      </c>
      <c r="E14768" s="5" t="s">
        <v>3962</v>
      </c>
    </row>
    <row r="14769" spans="1:5" x14ac:dyDescent="0.25">
      <c r="A14769" s="5">
        <f>14761</f>
      </c>
      <c r="B14769" s="5" t="s">
        <v>14040</v>
      </c>
      <c r="C14769" s="5" t="s">
        <v>11</v>
      </c>
      <c r="D14769" s="5" t="s">
        <v>12</v>
      </c>
      <c r="E14769" s="5" t="s">
        <v>3716</v>
      </c>
    </row>
    <row r="14770" spans="1:5" x14ac:dyDescent="0.25">
      <c r="A14770" s="5">
        <f>14762</f>
      </c>
      <c r="B14770" s="5" t="s">
        <v>14041</v>
      </c>
      <c r="C14770" s="5" t="s">
        <v>11</v>
      </c>
      <c r="D14770" s="5" t="s">
        <v>12</v>
      </c>
      <c r="E14770" s="5" t="s">
        <v>3716</v>
      </c>
    </row>
    <row r="14771" spans="1:5" x14ac:dyDescent="0.25">
      <c r="A14771" s="5">
        <f>14763</f>
      </c>
      <c r="B14771" s="5" t="s">
        <v>14042</v>
      </c>
      <c r="C14771" s="5" t="s">
        <v>11</v>
      </c>
      <c r="D14771" s="5" t="s">
        <v>12</v>
      </c>
      <c r="E14771" s="5" t="s">
        <v>10756</v>
      </c>
    </row>
    <row r="14772" spans="1:5" x14ac:dyDescent="0.25">
      <c r="A14772" s="5">
        <f>14764</f>
      </c>
      <c r="B14772" s="5" t="s">
        <v>14043</v>
      </c>
      <c r="C14772" s="5" t="s">
        <v>11</v>
      </c>
      <c r="D14772" s="5" t="s">
        <v>12</v>
      </c>
      <c r="E14772" s="5" t="s">
        <v>10640</v>
      </c>
    </row>
    <row r="14773" spans="1:5" x14ac:dyDescent="0.25">
      <c r="A14773" s="5">
        <f>14765</f>
      </c>
      <c r="B14773" s="5" t="s">
        <v>14044</v>
      </c>
      <c r="C14773" s="5" t="s">
        <v>11</v>
      </c>
      <c r="D14773" s="5" t="s">
        <v>12</v>
      </c>
      <c r="E14773" s="5" t="s">
        <v>2944</v>
      </c>
    </row>
    <row r="14774" spans="1:5" x14ac:dyDescent="0.25">
      <c r="A14774" s="5">
        <f>14766</f>
      </c>
      <c r="B14774" s="5" t="s">
        <v>14045</v>
      </c>
      <c r="C14774" s="5" t="s">
        <v>11</v>
      </c>
      <c r="D14774" s="5" t="s">
        <v>12</v>
      </c>
      <c r="E14774" s="5" t="s">
        <v>10618</v>
      </c>
    </row>
    <row r="14775" spans="1:5" x14ac:dyDescent="0.25">
      <c r="A14775" s="5">
        <f>14767</f>
      </c>
      <c r="B14775" s="5" t="s">
        <v>14046</v>
      </c>
      <c r="C14775" s="5" t="s">
        <v>11</v>
      </c>
      <c r="D14775" s="5" t="s">
        <v>12</v>
      </c>
      <c r="E14775" s="5" t="s">
        <v>3932</v>
      </c>
    </row>
    <row r="14776" spans="1:5" x14ac:dyDescent="0.25">
      <c r="A14776" s="5">
        <f>14768</f>
      </c>
      <c r="B14776" s="5" t="s">
        <v>14047</v>
      </c>
      <c r="C14776" s="5" t="s">
        <v>11</v>
      </c>
      <c r="D14776" s="5" t="s">
        <v>12</v>
      </c>
      <c r="E14776" s="5" t="s">
        <v>10479</v>
      </c>
    </row>
    <row r="14777" spans="1:5" x14ac:dyDescent="0.25">
      <c r="A14777" s="5">
        <f>14769</f>
      </c>
      <c r="B14777" s="5" t="s">
        <v>14048</v>
      </c>
      <c r="C14777" s="5" t="s">
        <v>11</v>
      </c>
      <c r="D14777" s="5" t="s">
        <v>12</v>
      </c>
      <c r="E14777" s="5" t="s">
        <v>10574</v>
      </c>
    </row>
    <row r="14778" spans="1:5" x14ac:dyDescent="0.25">
      <c r="A14778" s="5">
        <f>14770</f>
      </c>
      <c r="B14778" s="5" t="s">
        <v>14049</v>
      </c>
      <c r="C14778" s="5" t="s">
        <v>11</v>
      </c>
      <c r="D14778" s="5" t="s">
        <v>12</v>
      </c>
      <c r="E14778" s="5" t="s">
        <v>2584</v>
      </c>
    </row>
    <row r="14779" spans="1:5" x14ac:dyDescent="0.25">
      <c r="A14779" s="5">
        <f>14771</f>
      </c>
      <c r="B14779" s="5" t="s">
        <v>14050</v>
      </c>
      <c r="C14779" s="5" t="s">
        <v>11</v>
      </c>
      <c r="D14779" s="5" t="s">
        <v>12</v>
      </c>
      <c r="E14779" s="5" t="s">
        <v>3713</v>
      </c>
    </row>
    <row r="14780" spans="1:5" x14ac:dyDescent="0.25">
      <c r="A14780" s="5">
        <f>14772</f>
      </c>
      <c r="B14780" s="5" t="s">
        <v>14051</v>
      </c>
      <c r="C14780" s="5" t="s">
        <v>11</v>
      </c>
      <c r="D14780" s="5" t="s">
        <v>12</v>
      </c>
      <c r="E14780" s="5" t="s">
        <v>2754</v>
      </c>
    </row>
    <row r="14781" spans="1:5" x14ac:dyDescent="0.25">
      <c r="A14781" s="5">
        <f>14773</f>
      </c>
      <c r="B14781" s="5" t="s">
        <v>14052</v>
      </c>
      <c r="C14781" s="5" t="s">
        <v>11</v>
      </c>
      <c r="D14781" s="5" t="s">
        <v>12</v>
      </c>
      <c r="E14781" s="5" t="s">
        <v>2592</v>
      </c>
    </row>
    <row r="14782" spans="1:5" x14ac:dyDescent="0.25">
      <c r="A14782" s="5">
        <f>14774</f>
      </c>
      <c r="B14782" s="5" t="s">
        <v>14053</v>
      </c>
      <c r="C14782" s="5" t="s">
        <v>11</v>
      </c>
      <c r="D14782" s="5" t="s">
        <v>12</v>
      </c>
      <c r="E14782" s="5" t="s">
        <v>3386</v>
      </c>
    </row>
    <row r="14783" spans="1:5" x14ac:dyDescent="0.25">
      <c r="A14783" s="5">
        <f>14775</f>
      </c>
      <c r="B14783" s="5" t="s">
        <v>14054</v>
      </c>
      <c r="C14783" s="5" t="s">
        <v>11</v>
      </c>
      <c r="D14783" s="5" t="s">
        <v>12</v>
      </c>
      <c r="E14783" s="5" t="s">
        <v>3386</v>
      </c>
    </row>
    <row r="14784" spans="1:5" x14ac:dyDescent="0.25">
      <c r="A14784" s="5">
        <f>14776</f>
      </c>
      <c r="B14784" s="5" t="s">
        <v>14055</v>
      </c>
      <c r="C14784" s="5" t="s">
        <v>11</v>
      </c>
      <c r="D14784" s="5" t="s">
        <v>12</v>
      </c>
      <c r="E14784" s="5" t="s">
        <v>885</v>
      </c>
    </row>
    <row r="14785" spans="1:5" x14ac:dyDescent="0.25">
      <c r="A14785" s="5">
        <f>14777</f>
      </c>
      <c r="B14785" s="5" t="s">
        <v>14056</v>
      </c>
      <c r="C14785" s="5" t="s">
        <v>11</v>
      </c>
      <c r="D14785" s="5" t="s">
        <v>12</v>
      </c>
      <c r="E14785" s="5" t="s">
        <v>3771</v>
      </c>
    </row>
    <row r="14786" spans="1:5" x14ac:dyDescent="0.25">
      <c r="A14786" s="5">
        <f>14778</f>
      </c>
      <c r="B14786" s="5" t="s">
        <v>14057</v>
      </c>
      <c r="C14786" s="5" t="s">
        <v>11</v>
      </c>
      <c r="D14786" s="5" t="s">
        <v>12</v>
      </c>
      <c r="E14786" s="5" t="s">
        <v>781</v>
      </c>
    </row>
    <row r="14787" spans="1:5" x14ac:dyDescent="0.25">
      <c r="A14787" s="5">
        <f>14779</f>
      </c>
      <c r="B14787" s="5" t="s">
        <v>14058</v>
      </c>
      <c r="C14787" s="5" t="s">
        <v>11</v>
      </c>
      <c r="D14787" s="5" t="s">
        <v>12</v>
      </c>
      <c r="E14787" s="5" t="s">
        <v>3493</v>
      </c>
    </row>
    <row r="14788" spans="1:5" x14ac:dyDescent="0.25">
      <c r="A14788" s="5">
        <f>14780</f>
      </c>
      <c r="B14788" s="5" t="s">
        <v>14059</v>
      </c>
      <c r="C14788" s="5" t="s">
        <v>11</v>
      </c>
      <c r="D14788" s="5" t="s">
        <v>12</v>
      </c>
      <c r="E14788" s="5" t="s">
        <v>2298</v>
      </c>
    </row>
    <row r="14789" spans="1:5" x14ac:dyDescent="0.25">
      <c r="A14789" s="5">
        <f>14781</f>
      </c>
      <c r="B14789" s="5" t="s">
        <v>14060</v>
      </c>
      <c r="C14789" s="5" t="s">
        <v>11</v>
      </c>
      <c r="D14789" s="5" t="s">
        <v>12</v>
      </c>
      <c r="E14789" s="5" t="s">
        <v>3496</v>
      </c>
    </row>
    <row r="14790" spans="1:5" x14ac:dyDescent="0.25">
      <c r="A14790" s="5">
        <f>14782</f>
      </c>
      <c r="B14790" s="5" t="s">
        <v>14061</v>
      </c>
      <c r="C14790" s="5" t="s">
        <v>11</v>
      </c>
      <c r="D14790" s="5" t="s">
        <v>12</v>
      </c>
      <c r="E14790" s="5" t="s">
        <v>2819</v>
      </c>
    </row>
    <row r="14791" spans="1:5" x14ac:dyDescent="0.25">
      <c r="A14791" s="5">
        <f>14783</f>
      </c>
      <c r="B14791" s="5" t="s">
        <v>14062</v>
      </c>
      <c r="C14791" s="5" t="s">
        <v>11</v>
      </c>
      <c r="D14791" s="5" t="s">
        <v>12</v>
      </c>
      <c r="E14791" s="5" t="s">
        <v>3922</v>
      </c>
    </row>
    <row r="14792" spans="1:5" x14ac:dyDescent="0.25">
      <c r="A14792" s="5">
        <f>14784</f>
      </c>
      <c r="B14792" s="5" t="s">
        <v>14063</v>
      </c>
      <c r="C14792" s="5" t="s">
        <v>11</v>
      </c>
      <c r="D14792" s="5" t="s">
        <v>12</v>
      </c>
      <c r="E14792" s="5" t="s">
        <v>2575</v>
      </c>
    </row>
    <row r="14793" spans="1:5" x14ac:dyDescent="0.25">
      <c r="A14793" s="5">
        <f>14785</f>
      </c>
      <c r="B14793" s="5" t="s">
        <v>14064</v>
      </c>
      <c r="C14793" s="5" t="s">
        <v>11</v>
      </c>
      <c r="D14793" s="5" t="s">
        <v>12</v>
      </c>
      <c r="E14793" s="5" t="s">
        <v>2575</v>
      </c>
    </row>
    <row r="14794" spans="1:5" x14ac:dyDescent="0.25">
      <c r="A14794" s="5">
        <f>14786</f>
      </c>
      <c r="B14794" s="5" t="s">
        <v>14065</v>
      </c>
      <c r="C14794" s="5" t="s">
        <v>11</v>
      </c>
      <c r="D14794" s="5" t="s">
        <v>12</v>
      </c>
      <c r="E14794" s="5" t="s">
        <v>849</v>
      </c>
    </row>
    <row r="14795" spans="1:5" x14ac:dyDescent="0.25">
      <c r="A14795" s="5">
        <f>14787</f>
      </c>
      <c r="B14795" s="5" t="s">
        <v>14066</v>
      </c>
      <c r="C14795" s="5" t="s">
        <v>11</v>
      </c>
      <c r="D14795" s="5" t="s">
        <v>12</v>
      </c>
      <c r="E14795" s="5" t="s">
        <v>849</v>
      </c>
    </row>
    <row r="14796" spans="1:5" x14ac:dyDescent="0.25">
      <c r="A14796" s="5">
        <f>14788</f>
      </c>
      <c r="B14796" s="5" t="s">
        <v>14067</v>
      </c>
      <c r="C14796" s="5" t="s">
        <v>11</v>
      </c>
      <c r="D14796" s="5" t="s">
        <v>12</v>
      </c>
      <c r="E14796" s="5" t="s">
        <v>3516</v>
      </c>
    </row>
    <row r="14797" spans="1:5" x14ac:dyDescent="0.25">
      <c r="A14797" s="5">
        <f>14789</f>
      </c>
      <c r="B14797" s="5" t="s">
        <v>14068</v>
      </c>
      <c r="C14797" s="5" t="s">
        <v>11</v>
      </c>
      <c r="D14797" s="5" t="s">
        <v>12</v>
      </c>
      <c r="E14797" s="5" t="s">
        <v>871</v>
      </c>
    </row>
    <row r="14798" spans="1:5" x14ac:dyDescent="0.25">
      <c r="A14798" s="5">
        <f>14790</f>
      </c>
      <c r="B14798" s="5" t="s">
        <v>14069</v>
      </c>
      <c r="C14798" s="5" t="s">
        <v>11</v>
      </c>
      <c r="D14798" s="5" t="s">
        <v>12</v>
      </c>
      <c r="E14798" s="5" t="s">
        <v>3927</v>
      </c>
    </row>
    <row r="14799" spans="1:5" x14ac:dyDescent="0.25">
      <c r="A14799" s="5">
        <f>14791</f>
      </c>
      <c r="B14799" s="5" t="s">
        <v>14070</v>
      </c>
      <c r="C14799" s="5" t="s">
        <v>11</v>
      </c>
      <c r="D14799" s="5" t="s">
        <v>12</v>
      </c>
      <c r="E14799" s="5" t="s">
        <v>830</v>
      </c>
    </row>
    <row r="14800" spans="1:5" x14ac:dyDescent="0.25">
      <c r="A14800" s="5">
        <f>14792</f>
      </c>
      <c r="B14800" s="5" t="s">
        <v>14071</v>
      </c>
      <c r="C14800" s="5" t="s">
        <v>11</v>
      </c>
      <c r="D14800" s="5" t="s">
        <v>12</v>
      </c>
      <c r="E14800" s="5" t="s">
        <v>3538</v>
      </c>
    </row>
    <row r="14801" spans="1:5" x14ac:dyDescent="0.25">
      <c r="A14801" s="5">
        <f>14793</f>
      </c>
      <c r="B14801" s="5" t="s">
        <v>14072</v>
      </c>
      <c r="C14801" s="5" t="s">
        <v>11</v>
      </c>
      <c r="D14801" s="5" t="s">
        <v>12</v>
      </c>
      <c r="E14801" s="5" t="s">
        <v>3589</v>
      </c>
    </row>
    <row r="14802" spans="1:5" x14ac:dyDescent="0.25">
      <c r="A14802" s="5">
        <f>14794</f>
      </c>
      <c r="B14802" s="5" t="s">
        <v>14073</v>
      </c>
      <c r="C14802" s="5" t="s">
        <v>11</v>
      </c>
      <c r="D14802" s="5" t="s">
        <v>12</v>
      </c>
      <c r="E14802" s="5" t="s">
        <v>2338</v>
      </c>
    </row>
    <row r="14803" spans="1:5" x14ac:dyDescent="0.25">
      <c r="A14803" s="5">
        <f>14795</f>
      </c>
      <c r="B14803" s="5" t="s">
        <v>14074</v>
      </c>
      <c r="C14803" s="5" t="s">
        <v>11</v>
      </c>
      <c r="D14803" s="5" t="s">
        <v>12</v>
      </c>
      <c r="E14803" s="5" t="s">
        <v>990</v>
      </c>
    </row>
    <row r="14804" spans="1:5" x14ac:dyDescent="0.25">
      <c r="A14804" s="5">
        <f>14796</f>
      </c>
      <c r="B14804" s="5" t="s">
        <v>14075</v>
      </c>
      <c r="C14804" s="5" t="s">
        <v>11</v>
      </c>
      <c r="D14804" s="5" t="s">
        <v>12</v>
      </c>
      <c r="E14804" s="5" t="s">
        <v>990</v>
      </c>
    </row>
    <row r="14805" spans="1:5" x14ac:dyDescent="0.25">
      <c r="A14805" s="5">
        <f>14797</f>
      </c>
      <c r="B14805" s="5" t="s">
        <v>14076</v>
      </c>
      <c r="C14805" s="5" t="s">
        <v>11</v>
      </c>
      <c r="D14805" s="5" t="s">
        <v>12</v>
      </c>
      <c r="E14805" s="5" t="s">
        <v>990</v>
      </c>
    </row>
    <row r="14806" spans="1:5" x14ac:dyDescent="0.25">
      <c r="A14806" s="5">
        <f>14798</f>
      </c>
      <c r="B14806" s="5" t="s">
        <v>14077</v>
      </c>
      <c r="C14806" s="5" t="s">
        <v>11</v>
      </c>
      <c r="D14806" s="5" t="s">
        <v>12</v>
      </c>
      <c r="E14806" s="5" t="s">
        <v>990</v>
      </c>
    </row>
    <row r="14807" spans="1:5" x14ac:dyDescent="0.25">
      <c r="A14807" s="5">
        <f>14799</f>
      </c>
      <c r="B14807" s="5" t="s">
        <v>14078</v>
      </c>
      <c r="C14807" s="5" t="s">
        <v>11</v>
      </c>
      <c r="D14807" s="5" t="s">
        <v>12</v>
      </c>
      <c r="E14807" s="5" t="s">
        <v>990</v>
      </c>
    </row>
    <row r="14808" spans="1:5" x14ac:dyDescent="0.25">
      <c r="A14808" s="5">
        <f>14800</f>
      </c>
      <c r="B14808" s="5" t="s">
        <v>14079</v>
      </c>
      <c r="C14808" s="5" t="s">
        <v>11</v>
      </c>
      <c r="D14808" s="5" t="s">
        <v>12</v>
      </c>
      <c r="E14808" s="5" t="s">
        <v>990</v>
      </c>
    </row>
    <row r="14809" spans="1:5" x14ac:dyDescent="0.25">
      <c r="A14809" s="5">
        <f>14801</f>
      </c>
      <c r="B14809" s="5" t="s">
        <v>14080</v>
      </c>
      <c r="C14809" s="5" t="s">
        <v>11</v>
      </c>
      <c r="D14809" s="5" t="s">
        <v>12</v>
      </c>
      <c r="E14809" s="5" t="s">
        <v>990</v>
      </c>
    </row>
    <row r="14810" spans="1:5" x14ac:dyDescent="0.25">
      <c r="A14810" s="5">
        <f>14802</f>
      </c>
      <c r="B14810" s="5" t="s">
        <v>14081</v>
      </c>
      <c r="C14810" s="5" t="s">
        <v>11</v>
      </c>
      <c r="D14810" s="5" t="s">
        <v>12</v>
      </c>
      <c r="E14810" s="5" t="s">
        <v>990</v>
      </c>
    </row>
    <row r="14811" spans="1:5" x14ac:dyDescent="0.25">
      <c r="A14811" s="5">
        <f>14803</f>
      </c>
      <c r="B14811" s="5" t="s">
        <v>14082</v>
      </c>
      <c r="C14811" s="5" t="s">
        <v>11</v>
      </c>
      <c r="D14811" s="5" t="s">
        <v>12</v>
      </c>
      <c r="E14811" s="5" t="s">
        <v>3866</v>
      </c>
    </row>
    <row r="14812" spans="1:5" x14ac:dyDescent="0.25">
      <c r="A14812" s="5">
        <f>14804</f>
      </c>
      <c r="B14812" s="5" t="s">
        <v>14083</v>
      </c>
      <c r="C14812" s="5" t="s">
        <v>11</v>
      </c>
      <c r="D14812" s="5" t="s">
        <v>12</v>
      </c>
      <c r="E14812" s="5" t="s">
        <v>3536</v>
      </c>
    </row>
    <row r="14813" spans="1:5" x14ac:dyDescent="0.25">
      <c r="A14813" s="5">
        <f>14805</f>
      </c>
      <c r="B14813" s="5" t="s">
        <v>14084</v>
      </c>
      <c r="C14813" s="5" t="s">
        <v>11</v>
      </c>
      <c r="D14813" s="5" t="s">
        <v>12</v>
      </c>
      <c r="E14813" s="5" t="s">
        <v>3962</v>
      </c>
    </row>
    <row r="14814" spans="1:5" x14ac:dyDescent="0.25">
      <c r="A14814" s="5">
        <f>14806</f>
      </c>
      <c r="B14814" s="5" t="s">
        <v>14085</v>
      </c>
      <c r="C14814" s="5" t="s">
        <v>11</v>
      </c>
      <c r="D14814" s="5" t="s">
        <v>12</v>
      </c>
      <c r="E14814" s="5" t="s">
        <v>3962</v>
      </c>
    </row>
    <row r="14815" spans="1:5" x14ac:dyDescent="0.25">
      <c r="A14815" s="5">
        <f>14807</f>
      </c>
      <c r="B14815" s="5" t="s">
        <v>14086</v>
      </c>
      <c r="C14815" s="5" t="s">
        <v>11</v>
      </c>
      <c r="D14815" s="5" t="s">
        <v>12</v>
      </c>
      <c r="E14815" s="5" t="s">
        <v>3962</v>
      </c>
    </row>
    <row r="14816" spans="1:5" x14ac:dyDescent="0.25">
      <c r="A14816" s="5">
        <f>14808</f>
      </c>
      <c r="B14816" s="5" t="s">
        <v>14087</v>
      </c>
      <c r="C14816" s="5" t="s">
        <v>11</v>
      </c>
      <c r="D14816" s="5" t="s">
        <v>12</v>
      </c>
      <c r="E14816" s="5" t="s">
        <v>3962</v>
      </c>
    </row>
    <row r="14817" spans="1:5" x14ac:dyDescent="0.25">
      <c r="A14817" s="5">
        <f>14809</f>
      </c>
      <c r="B14817" s="5" t="s">
        <v>14088</v>
      </c>
      <c r="C14817" s="5" t="s">
        <v>11</v>
      </c>
      <c r="D14817" s="5" t="s">
        <v>12</v>
      </c>
      <c r="E14817" s="5" t="s">
        <v>3962</v>
      </c>
    </row>
    <row r="14818" spans="1:5" x14ac:dyDescent="0.25">
      <c r="A14818" s="5">
        <f>14810</f>
      </c>
      <c r="B14818" s="5" t="s">
        <v>14089</v>
      </c>
      <c r="C14818" s="5" t="s">
        <v>11</v>
      </c>
      <c r="D14818" s="5" t="s">
        <v>12</v>
      </c>
      <c r="E14818" s="5" t="s">
        <v>2409</v>
      </c>
    </row>
    <row r="14819" spans="1:5" x14ac:dyDescent="0.25">
      <c r="A14819" s="5">
        <f>14811</f>
      </c>
      <c r="B14819" s="5" t="s">
        <v>14090</v>
      </c>
      <c r="C14819" s="5" t="s">
        <v>11</v>
      </c>
      <c r="D14819" s="5" t="s">
        <v>12</v>
      </c>
      <c r="E14819" s="5" t="s">
        <v>2409</v>
      </c>
    </row>
    <row r="14820" spans="1:5" x14ac:dyDescent="0.25">
      <c r="A14820" s="5">
        <f>14812</f>
      </c>
      <c r="B14820" s="5" t="s">
        <v>14091</v>
      </c>
      <c r="C14820" s="5" t="s">
        <v>11</v>
      </c>
      <c r="D14820" s="5" t="s">
        <v>12</v>
      </c>
      <c r="E14820" s="5" t="s">
        <v>1028</v>
      </c>
    </row>
    <row r="14821" spans="1:5" x14ac:dyDescent="0.25">
      <c r="A14821" s="5">
        <f>14813</f>
      </c>
      <c r="B14821" s="5" t="s">
        <v>14092</v>
      </c>
      <c r="C14821" s="5" t="s">
        <v>11</v>
      </c>
      <c r="D14821" s="5" t="s">
        <v>12</v>
      </c>
      <c r="E14821" s="5" t="s">
        <v>1036</v>
      </c>
    </row>
    <row r="14822" spans="1:5" x14ac:dyDescent="0.25">
      <c r="A14822" s="5">
        <f>14814</f>
      </c>
      <c r="B14822" s="5" t="s">
        <v>14093</v>
      </c>
      <c r="C14822" s="5" t="s">
        <v>11</v>
      </c>
      <c r="D14822" s="5" t="s">
        <v>12</v>
      </c>
      <c r="E14822" s="5" t="s">
        <v>10756</v>
      </c>
    </row>
    <row r="14823" spans="1:5" x14ac:dyDescent="0.25">
      <c r="A14823" s="5">
        <f>14815</f>
      </c>
      <c r="B14823" s="5" t="s">
        <v>14094</v>
      </c>
      <c r="C14823" s="5" t="s">
        <v>11</v>
      </c>
      <c r="D14823" s="5" t="s">
        <v>12</v>
      </c>
      <c r="E14823" s="5" t="s">
        <v>2840</v>
      </c>
    </row>
    <row r="14824" spans="1:5" x14ac:dyDescent="0.25">
      <c r="A14824" s="5">
        <f>14816</f>
      </c>
      <c r="B14824" s="5" t="s">
        <v>14095</v>
      </c>
      <c r="C14824" s="5" t="s">
        <v>11</v>
      </c>
      <c r="D14824" s="5" t="s">
        <v>12</v>
      </c>
      <c r="E14824" s="5" t="s">
        <v>2616</v>
      </c>
    </row>
    <row r="14825" spans="1:5" x14ac:dyDescent="0.25">
      <c r="A14825" s="5">
        <f>14817</f>
      </c>
      <c r="B14825" s="5" t="s">
        <v>14096</v>
      </c>
      <c r="C14825" s="5" t="s">
        <v>11</v>
      </c>
      <c r="D14825" s="5" t="s">
        <v>12</v>
      </c>
      <c r="E14825" s="5" t="s">
        <v>3932</v>
      </c>
    </row>
    <row r="14826" spans="1:5" x14ac:dyDescent="0.25">
      <c r="A14826" s="5">
        <f>14818</f>
      </c>
      <c r="B14826" s="5" t="s">
        <v>14097</v>
      </c>
      <c r="C14826" s="5" t="s">
        <v>11</v>
      </c>
      <c r="D14826" s="5" t="s">
        <v>12</v>
      </c>
      <c r="E14826" s="5" t="s">
        <v>2754</v>
      </c>
    </row>
    <row r="14827" spans="1:5" x14ac:dyDescent="0.25">
      <c r="A14827" s="5">
        <f>14819</f>
      </c>
      <c r="B14827" s="5" t="s">
        <v>14098</v>
      </c>
      <c r="C14827" s="5" t="s">
        <v>11</v>
      </c>
      <c r="D14827" s="5" t="s">
        <v>12</v>
      </c>
      <c r="E14827" s="5" t="s">
        <v>2343</v>
      </c>
    </row>
    <row r="14828" spans="1:5" x14ac:dyDescent="0.25">
      <c r="A14828" s="5">
        <f>14820</f>
      </c>
      <c r="B14828" s="5" t="s">
        <v>14099</v>
      </c>
      <c r="C14828" s="5" t="s">
        <v>11</v>
      </c>
      <c r="D14828" s="5" t="s">
        <v>12</v>
      </c>
      <c r="E14828" s="5" t="s">
        <v>3367</v>
      </c>
    </row>
    <row r="14829" spans="1:5" x14ac:dyDescent="0.25">
      <c r="A14829" s="5">
        <f>14821</f>
      </c>
      <c r="B14829" s="5" t="s">
        <v>14100</v>
      </c>
      <c r="C14829" s="5" t="s">
        <v>11</v>
      </c>
      <c r="D14829" s="5" t="s">
        <v>12</v>
      </c>
      <c r="E14829" s="5" t="s">
        <v>3367</v>
      </c>
    </row>
    <row r="14830" spans="1:5" x14ac:dyDescent="0.25">
      <c r="A14830" s="5">
        <f>14822</f>
      </c>
      <c r="B14830" s="5" t="s">
        <v>14101</v>
      </c>
      <c r="C14830" s="5" t="s">
        <v>11</v>
      </c>
      <c r="D14830" s="5" t="s">
        <v>12</v>
      </c>
      <c r="E14830" s="5" t="s">
        <v>4048</v>
      </c>
    </row>
    <row r="14831" spans="1:5" x14ac:dyDescent="0.25">
      <c r="A14831" s="5">
        <f>14823</f>
      </c>
      <c r="B14831" s="5" t="s">
        <v>14102</v>
      </c>
      <c r="C14831" s="5" t="s">
        <v>11</v>
      </c>
      <c r="D14831" s="5" t="s">
        <v>12</v>
      </c>
      <c r="E14831" s="5" t="s">
        <v>3765</v>
      </c>
    </row>
    <row r="14832" spans="1:5" x14ac:dyDescent="0.25">
      <c r="A14832" s="5">
        <f>14824</f>
      </c>
      <c r="B14832" s="5" t="s">
        <v>14103</v>
      </c>
      <c r="C14832" s="5" t="s">
        <v>11</v>
      </c>
      <c r="D14832" s="5" t="s">
        <v>12</v>
      </c>
      <c r="E14832" s="5" t="s">
        <v>835</v>
      </c>
    </row>
    <row r="14833" spans="1:5" x14ac:dyDescent="0.25">
      <c r="A14833" s="5">
        <f>14825</f>
      </c>
      <c r="B14833" s="5" t="s">
        <v>14104</v>
      </c>
      <c r="C14833" s="5" t="s">
        <v>11</v>
      </c>
      <c r="D14833" s="5" t="s">
        <v>12</v>
      </c>
      <c r="E14833" s="5" t="s">
        <v>843</v>
      </c>
    </row>
    <row r="14834" spans="1:5" x14ac:dyDescent="0.25">
      <c r="A14834" s="5">
        <f>14826</f>
      </c>
      <c r="B14834" s="5" t="s">
        <v>14105</v>
      </c>
      <c r="C14834" s="5" t="s">
        <v>11</v>
      </c>
      <c r="D14834" s="5" t="s">
        <v>12</v>
      </c>
      <c r="E14834" s="5" t="s">
        <v>3488</v>
      </c>
    </row>
    <row r="14835" spans="1:5" x14ac:dyDescent="0.25">
      <c r="A14835" s="5">
        <f>14827</f>
      </c>
      <c r="B14835" s="5" t="s">
        <v>14106</v>
      </c>
      <c r="C14835" s="5" t="s">
        <v>11</v>
      </c>
      <c r="D14835" s="5" t="s">
        <v>12</v>
      </c>
      <c r="E14835" s="5" t="s">
        <v>3598</v>
      </c>
    </row>
    <row r="14836" spans="1:5" x14ac:dyDescent="0.25">
      <c r="A14836" s="5">
        <f>14828</f>
      </c>
      <c r="B14836" s="5" t="s">
        <v>14107</v>
      </c>
      <c r="C14836" s="5" t="s">
        <v>11</v>
      </c>
      <c r="D14836" s="5" t="s">
        <v>12</v>
      </c>
      <c r="E14836" s="5" t="s">
        <v>3879</v>
      </c>
    </row>
    <row r="14837" spans="1:5" x14ac:dyDescent="0.25">
      <c r="A14837" s="5">
        <f>14829</f>
      </c>
      <c r="B14837" s="5" t="s">
        <v>14108</v>
      </c>
      <c r="C14837" s="5" t="s">
        <v>11</v>
      </c>
      <c r="D14837" s="5" t="s">
        <v>12</v>
      </c>
      <c r="E14837" s="5" t="s">
        <v>1030</v>
      </c>
    </row>
    <row r="14838" spans="1:5" x14ac:dyDescent="0.25">
      <c r="A14838" s="5">
        <f>14830</f>
      </c>
      <c r="B14838" s="5" t="s">
        <v>14109</v>
      </c>
      <c r="C14838" s="5" t="s">
        <v>11</v>
      </c>
      <c r="D14838" s="5" t="s">
        <v>12</v>
      </c>
      <c r="E14838" s="5" t="s">
        <v>935</v>
      </c>
    </row>
    <row r="14839" spans="1:5" x14ac:dyDescent="0.25">
      <c r="A14839" s="5">
        <f>14831</f>
      </c>
      <c r="B14839" s="5" t="s">
        <v>14110</v>
      </c>
      <c r="C14839" s="5" t="s">
        <v>11</v>
      </c>
      <c r="D14839" s="5" t="s">
        <v>12</v>
      </c>
      <c r="E14839" s="5" t="s">
        <v>10640</v>
      </c>
    </row>
    <row r="14840" spans="1:5" x14ac:dyDescent="0.25">
      <c r="A14840" s="5">
        <f>14832</f>
      </c>
      <c r="B14840" s="5" t="s">
        <v>14111</v>
      </c>
      <c r="C14840" s="5" t="s">
        <v>11</v>
      </c>
      <c r="D14840" s="5" t="s">
        <v>12</v>
      </c>
      <c r="E14840" s="5" t="s">
        <v>1053</v>
      </c>
    </row>
    <row r="14841" spans="1:5" x14ac:dyDescent="0.25">
      <c r="A14841" s="5">
        <f>14833</f>
      </c>
      <c r="B14841" s="5" t="s">
        <v>14112</v>
      </c>
      <c r="C14841" s="5" t="s">
        <v>11</v>
      </c>
      <c r="D14841" s="5" t="s">
        <v>12</v>
      </c>
      <c r="E14841" s="5" t="s">
        <v>10878</v>
      </c>
    </row>
    <row r="14842" spans="1:5" x14ac:dyDescent="0.25">
      <c r="A14842" s="5">
        <f>14834</f>
      </c>
      <c r="B14842" s="5" t="s">
        <v>14113</v>
      </c>
      <c r="C14842" s="5" t="s">
        <v>11</v>
      </c>
      <c r="D14842" s="5" t="s">
        <v>12</v>
      </c>
      <c r="E14842" s="5" t="s">
        <v>10580</v>
      </c>
    </row>
    <row r="14843" spans="1:5" x14ac:dyDescent="0.25">
      <c r="A14843" s="5">
        <f>14835</f>
      </c>
      <c r="B14843" s="5" t="s">
        <v>14114</v>
      </c>
      <c r="C14843" s="5" t="s">
        <v>11</v>
      </c>
      <c r="D14843" s="5" t="s">
        <v>12</v>
      </c>
      <c r="E14843" s="5" t="s">
        <v>720</v>
      </c>
    </row>
    <row r="14844" spans="1:5" x14ac:dyDescent="0.25">
      <c r="A14844" s="5">
        <f>14836</f>
      </c>
      <c r="B14844" s="5" t="s">
        <v>14115</v>
      </c>
      <c r="C14844" s="5" t="s">
        <v>11</v>
      </c>
      <c r="D14844" s="5" t="s">
        <v>12</v>
      </c>
      <c r="E14844" s="5" t="s">
        <v>3709</v>
      </c>
    </row>
    <row r="14845" spans="1:5" x14ac:dyDescent="0.25">
      <c r="A14845" s="5">
        <f>14837</f>
      </c>
      <c r="B14845" s="5" t="s">
        <v>14116</v>
      </c>
      <c r="C14845" s="5" t="s">
        <v>11</v>
      </c>
      <c r="D14845" s="5" t="s">
        <v>12</v>
      </c>
      <c r="E14845" s="5" t="s">
        <v>3690</v>
      </c>
    </row>
    <row r="14846" spans="1:5" x14ac:dyDescent="0.25">
      <c r="A14846" s="5">
        <f>14838</f>
      </c>
      <c r="B14846" s="5" t="s">
        <v>14117</v>
      </c>
      <c r="C14846" s="5" t="s">
        <v>11</v>
      </c>
      <c r="D14846" s="5" t="s">
        <v>12</v>
      </c>
      <c r="E14846" s="5" t="s">
        <v>3690</v>
      </c>
    </row>
    <row r="14847" spans="1:5" x14ac:dyDescent="0.25">
      <c r="A14847" s="5">
        <f>14839</f>
      </c>
      <c r="B14847" s="5" t="s">
        <v>14118</v>
      </c>
      <c r="C14847" s="5" t="s">
        <v>11</v>
      </c>
      <c r="D14847" s="5" t="s">
        <v>12</v>
      </c>
      <c r="E14847" s="5" t="s">
        <v>3955</v>
      </c>
    </row>
    <row r="14848" spans="1:5" x14ac:dyDescent="0.25">
      <c r="A14848" s="5">
        <f>14840</f>
      </c>
      <c r="B14848" s="5" t="s">
        <v>14119</v>
      </c>
      <c r="C14848" s="5" t="s">
        <v>11</v>
      </c>
      <c r="D14848" s="5" t="s">
        <v>12</v>
      </c>
      <c r="E14848" s="5" t="s">
        <v>11120</v>
      </c>
    </row>
    <row r="14849" spans="1:5" x14ac:dyDescent="0.25">
      <c r="A14849" s="5">
        <f>14841</f>
      </c>
      <c r="B14849" s="5" t="s">
        <v>14120</v>
      </c>
      <c r="C14849" s="5" t="s">
        <v>11</v>
      </c>
      <c r="D14849" s="5" t="s">
        <v>12</v>
      </c>
      <c r="E14849" s="5" t="s">
        <v>853</v>
      </c>
    </row>
    <row r="14850" spans="1:5" x14ac:dyDescent="0.25">
      <c r="A14850" s="5">
        <f>14842</f>
      </c>
      <c r="B14850" s="5" t="s">
        <v>14121</v>
      </c>
      <c r="C14850" s="5" t="s">
        <v>11</v>
      </c>
      <c r="D14850" s="5" t="s">
        <v>12</v>
      </c>
      <c r="E14850" s="5" t="s">
        <v>4156</v>
      </c>
    </row>
    <row r="14851" spans="1:5" x14ac:dyDescent="0.25">
      <c r="A14851" s="5">
        <f>14843</f>
      </c>
      <c r="B14851" s="5" t="s">
        <v>14122</v>
      </c>
      <c r="C14851" s="5" t="s">
        <v>11</v>
      </c>
      <c r="D14851" s="5" t="s">
        <v>12</v>
      </c>
      <c r="E14851" s="5" t="s">
        <v>11438</v>
      </c>
    </row>
    <row r="14852" spans="1:5" x14ac:dyDescent="0.25">
      <c r="A14852" s="5">
        <f>14844</f>
      </c>
      <c r="B14852" s="5" t="s">
        <v>14123</v>
      </c>
      <c r="C14852" s="5" t="s">
        <v>11</v>
      </c>
      <c r="D14852" s="5" t="s">
        <v>12</v>
      </c>
      <c r="E14852" s="5" t="s">
        <v>9578</v>
      </c>
    </row>
    <row r="14853" spans="1:5" x14ac:dyDescent="0.25">
      <c r="A14853" s="5">
        <f>14845</f>
      </c>
      <c r="B14853" s="5" t="s">
        <v>14124</v>
      </c>
      <c r="C14853" s="5" t="s">
        <v>11</v>
      </c>
      <c r="D14853" s="5" t="s">
        <v>12</v>
      </c>
      <c r="E14853" s="5" t="s">
        <v>9578</v>
      </c>
    </row>
    <row r="14854" spans="1:5" x14ac:dyDescent="0.25">
      <c r="A14854" s="5">
        <f>14846</f>
      </c>
      <c r="B14854" s="5" t="s">
        <v>14125</v>
      </c>
      <c r="C14854" s="5" t="s">
        <v>11</v>
      </c>
      <c r="D14854" s="5" t="s">
        <v>12</v>
      </c>
      <c r="E14854" s="5" t="s">
        <v>3606</v>
      </c>
    </row>
    <row r="14855" spans="1:5" x14ac:dyDescent="0.25">
      <c r="A14855" s="5">
        <f>14847</f>
      </c>
      <c r="B14855" s="5" t="s">
        <v>14126</v>
      </c>
      <c r="C14855" s="5" t="s">
        <v>11</v>
      </c>
      <c r="D14855" s="5" t="s">
        <v>12</v>
      </c>
      <c r="E14855" s="5" t="s">
        <v>2944</v>
      </c>
    </row>
    <row r="14856" spans="1:5" x14ac:dyDescent="0.25">
      <c r="A14856" s="5">
        <f>14848</f>
      </c>
      <c r="B14856" s="5" t="s">
        <v>14127</v>
      </c>
      <c r="C14856" s="5" t="s">
        <v>11</v>
      </c>
      <c r="D14856" s="5" t="s">
        <v>12</v>
      </c>
      <c r="E14856" s="5" t="s">
        <v>3692</v>
      </c>
    </row>
    <row r="14857" spans="1:5" x14ac:dyDescent="0.25">
      <c r="A14857" s="5">
        <f>14849</f>
      </c>
      <c r="B14857" s="5" t="s">
        <v>14128</v>
      </c>
      <c r="C14857" s="5" t="s">
        <v>11</v>
      </c>
      <c r="D14857" s="5" t="s">
        <v>12</v>
      </c>
      <c r="E14857" s="5" t="s">
        <v>3692</v>
      </c>
    </row>
    <row r="14858" spans="1:5" x14ac:dyDescent="0.25">
      <c r="A14858" s="5">
        <f>14850</f>
      </c>
      <c r="B14858" s="5" t="s">
        <v>14129</v>
      </c>
      <c r="C14858" s="5" t="s">
        <v>11</v>
      </c>
      <c r="D14858" s="5" t="s">
        <v>12</v>
      </c>
      <c r="E14858" s="5" t="s">
        <v>2262</v>
      </c>
    </row>
    <row r="14859" spans="1:5" x14ac:dyDescent="0.25">
      <c r="A14859" s="5">
        <f>14851</f>
      </c>
      <c r="B14859" s="5" t="s">
        <v>14130</v>
      </c>
      <c r="C14859" s="5" t="s">
        <v>11</v>
      </c>
      <c r="D14859" s="5" t="s">
        <v>12</v>
      </c>
      <c r="E14859" s="5" t="s">
        <v>2577</v>
      </c>
    </row>
    <row r="14860" spans="1:5" x14ac:dyDescent="0.25">
      <c r="A14860" s="5">
        <f>14852</f>
      </c>
      <c r="B14860" s="5" t="s">
        <v>14131</v>
      </c>
      <c r="C14860" s="5" t="s">
        <v>11</v>
      </c>
      <c r="D14860" s="5" t="s">
        <v>12</v>
      </c>
      <c r="E14860" s="5" t="s">
        <v>2577</v>
      </c>
    </row>
    <row r="14861" spans="1:5" x14ac:dyDescent="0.25">
      <c r="A14861" s="5">
        <f>14853</f>
      </c>
      <c r="B14861" s="5" t="s">
        <v>14132</v>
      </c>
      <c r="C14861" s="5" t="s">
        <v>11</v>
      </c>
      <c r="D14861" s="5" t="s">
        <v>12</v>
      </c>
      <c r="E14861" s="5" t="s">
        <v>2251</v>
      </c>
    </row>
    <row r="14862" spans="1:5" x14ac:dyDescent="0.25">
      <c r="A14862" s="5">
        <f>14854</f>
      </c>
      <c r="B14862" s="5" t="s">
        <v>14133</v>
      </c>
      <c r="C14862" s="5" t="s">
        <v>11</v>
      </c>
      <c r="D14862" s="5" t="s">
        <v>12</v>
      </c>
      <c r="E14862" s="5" t="s">
        <v>3709</v>
      </c>
    </row>
    <row r="14863" spans="1:5" x14ac:dyDescent="0.25">
      <c r="A14863" s="5">
        <f>14855</f>
      </c>
      <c r="B14863" s="5" t="s">
        <v>14134</v>
      </c>
      <c r="C14863" s="5" t="s">
        <v>11</v>
      </c>
      <c r="D14863" s="5" t="s">
        <v>12</v>
      </c>
      <c r="E14863" s="5" t="s">
        <v>975</v>
      </c>
    </row>
    <row r="14864" spans="1:5" x14ac:dyDescent="0.25">
      <c r="A14864" s="5">
        <f>14856</f>
      </c>
      <c r="B14864" s="5" t="s">
        <v>14135</v>
      </c>
      <c r="C14864" s="5" t="s">
        <v>11</v>
      </c>
      <c r="D14864" s="5" t="s">
        <v>12</v>
      </c>
      <c r="E14864" s="5" t="s">
        <v>10059</v>
      </c>
    </row>
    <row r="14865" spans="1:5" x14ac:dyDescent="0.25">
      <c r="A14865" s="5">
        <f>14857</f>
      </c>
      <c r="B14865" s="5" t="s">
        <v>14136</v>
      </c>
      <c r="C14865" s="5" t="s">
        <v>11</v>
      </c>
      <c r="D14865" s="5" t="s">
        <v>12</v>
      </c>
      <c r="E14865" s="5" t="s">
        <v>2881</v>
      </c>
    </row>
    <row r="14866" spans="1:5" x14ac:dyDescent="0.25">
      <c r="A14866" s="5">
        <f>14858</f>
      </c>
      <c r="B14866" s="5" t="s">
        <v>14137</v>
      </c>
      <c r="C14866" s="5" t="s">
        <v>11</v>
      </c>
      <c r="D14866" s="5" t="s">
        <v>12</v>
      </c>
      <c r="E14866" s="5" t="s">
        <v>3527</v>
      </c>
    </row>
    <row r="14867" spans="1:5" x14ac:dyDescent="0.25">
      <c r="A14867" s="5">
        <f>14859</f>
      </c>
      <c r="B14867" s="5" t="s">
        <v>14138</v>
      </c>
      <c r="C14867" s="5" t="s">
        <v>11</v>
      </c>
      <c r="D14867" s="5" t="s">
        <v>12</v>
      </c>
      <c r="E14867" s="5" t="s">
        <v>2873</v>
      </c>
    </row>
    <row r="14868" spans="1:5" x14ac:dyDescent="0.25">
      <c r="A14868" s="5">
        <f>14860</f>
      </c>
      <c r="B14868" s="5" t="s">
        <v>14139</v>
      </c>
      <c r="C14868" s="5" t="s">
        <v>11</v>
      </c>
      <c r="D14868" s="5" t="s">
        <v>12</v>
      </c>
      <c r="E14868" s="5" t="s">
        <v>3493</v>
      </c>
    </row>
    <row r="14869" spans="1:5" x14ac:dyDescent="0.25">
      <c r="A14869" s="5">
        <f>14861</f>
      </c>
      <c r="B14869" s="5" t="s">
        <v>14140</v>
      </c>
      <c r="C14869" s="5" t="s">
        <v>11</v>
      </c>
      <c r="D14869" s="5" t="s">
        <v>12</v>
      </c>
      <c r="E14869" s="5" t="s">
        <v>2665</v>
      </c>
    </row>
    <row r="14870" spans="1:5" x14ac:dyDescent="0.25">
      <c r="A14870" s="5">
        <f>14862</f>
      </c>
      <c r="B14870" s="5" t="s">
        <v>14141</v>
      </c>
      <c r="C14870" s="5" t="s">
        <v>11</v>
      </c>
      <c r="D14870" s="5" t="s">
        <v>12</v>
      </c>
      <c r="E14870" s="5" t="s">
        <v>4105</v>
      </c>
    </row>
    <row r="14871" spans="1:5" x14ac:dyDescent="0.25">
      <c r="A14871" s="5">
        <f>14863</f>
      </c>
      <c r="B14871" s="5" t="s">
        <v>14142</v>
      </c>
      <c r="C14871" s="5" t="s">
        <v>11</v>
      </c>
      <c r="D14871" s="5" t="s">
        <v>12</v>
      </c>
      <c r="E14871" s="5" t="s">
        <v>2241</v>
      </c>
    </row>
    <row r="14872" spans="1:5" x14ac:dyDescent="0.25">
      <c r="A14872" s="5">
        <f>14864</f>
      </c>
      <c r="B14872" s="5" t="s">
        <v>14143</v>
      </c>
      <c r="C14872" s="5" t="s">
        <v>11</v>
      </c>
      <c r="D14872" s="5" t="s">
        <v>12</v>
      </c>
      <c r="E14872" s="5" t="s">
        <v>2241</v>
      </c>
    </row>
    <row r="14873" spans="1:5" x14ac:dyDescent="0.25">
      <c r="A14873" s="5">
        <f>14865</f>
      </c>
      <c r="B14873" s="5" t="s">
        <v>14144</v>
      </c>
      <c r="C14873" s="5" t="s">
        <v>11</v>
      </c>
      <c r="D14873" s="5" t="s">
        <v>12</v>
      </c>
      <c r="E14873" s="5" t="s">
        <v>10618</v>
      </c>
    </row>
    <row r="14874" spans="1:5" x14ac:dyDescent="0.25">
      <c r="A14874" s="5">
        <f>14866</f>
      </c>
      <c r="B14874" s="5" t="s">
        <v>14145</v>
      </c>
      <c r="C14874" s="5" t="s">
        <v>11</v>
      </c>
      <c r="D14874" s="5" t="s">
        <v>12</v>
      </c>
      <c r="E14874" s="5" t="s">
        <v>875</v>
      </c>
    </row>
    <row r="14875" spans="1:5" x14ac:dyDescent="0.25">
      <c r="A14875" s="5">
        <f>14867</f>
      </c>
      <c r="B14875" s="5" t="s">
        <v>14146</v>
      </c>
      <c r="C14875" s="5" t="s">
        <v>11</v>
      </c>
      <c r="D14875" s="5" t="s">
        <v>12</v>
      </c>
      <c r="E14875" s="5" t="s">
        <v>1025</v>
      </c>
    </row>
    <row r="14876" spans="1:5" x14ac:dyDescent="0.25">
      <c r="A14876" s="5">
        <f>14868</f>
      </c>
      <c r="B14876" s="5" t="s">
        <v>14147</v>
      </c>
      <c r="C14876" s="5" t="s">
        <v>11</v>
      </c>
      <c r="D14876" s="5" t="s">
        <v>12</v>
      </c>
      <c r="E14876" s="5" t="s">
        <v>1022</v>
      </c>
    </row>
    <row r="14877" spans="1:5" x14ac:dyDescent="0.25">
      <c r="A14877" s="5">
        <f>14869</f>
      </c>
      <c r="B14877" s="5" t="s">
        <v>14148</v>
      </c>
      <c r="C14877" s="5" t="s">
        <v>11</v>
      </c>
      <c r="D14877" s="5" t="s">
        <v>12</v>
      </c>
      <c r="E14877" s="5" t="s">
        <v>4164</v>
      </c>
    </row>
    <row r="14878" spans="1:5" x14ac:dyDescent="0.25">
      <c r="A14878" s="5">
        <f>14870</f>
      </c>
      <c r="B14878" s="5" t="s">
        <v>14149</v>
      </c>
      <c r="C14878" s="5" t="s">
        <v>11</v>
      </c>
      <c r="D14878" s="5" t="s">
        <v>12</v>
      </c>
      <c r="E14878" s="5" t="s">
        <v>9518</v>
      </c>
    </row>
    <row r="14879" spans="1:5" x14ac:dyDescent="0.25">
      <c r="A14879" s="5">
        <f>14871</f>
      </c>
      <c r="B14879" s="5" t="s">
        <v>14150</v>
      </c>
      <c r="C14879" s="5" t="s">
        <v>11</v>
      </c>
      <c r="D14879" s="5" t="s">
        <v>12</v>
      </c>
      <c r="E14879" s="5" t="s">
        <v>3754</v>
      </c>
    </row>
    <row r="14880" spans="1:5" x14ac:dyDescent="0.25">
      <c r="A14880" s="5">
        <f>14872</f>
      </c>
      <c r="B14880" s="5" t="s">
        <v>14151</v>
      </c>
      <c r="C14880" s="5" t="s">
        <v>11</v>
      </c>
      <c r="D14880" s="5" t="s">
        <v>12</v>
      </c>
      <c r="E14880" s="5" t="s">
        <v>10622</v>
      </c>
    </row>
    <row r="14881" spans="1:5" x14ac:dyDescent="0.25">
      <c r="A14881" s="5">
        <f>14873</f>
      </c>
      <c r="B14881" s="5" t="s">
        <v>14152</v>
      </c>
      <c r="C14881" s="5" t="s">
        <v>11</v>
      </c>
      <c r="D14881" s="5" t="s">
        <v>12</v>
      </c>
      <c r="E14881" s="5" t="s">
        <v>734</v>
      </c>
    </row>
    <row r="14882" spans="1:5" x14ac:dyDescent="0.25">
      <c r="A14882" s="5">
        <f>14874</f>
      </c>
      <c r="B14882" s="5" t="s">
        <v>14153</v>
      </c>
      <c r="C14882" s="5" t="s">
        <v>11</v>
      </c>
      <c r="D14882" s="5" t="s">
        <v>12</v>
      </c>
      <c r="E14882" s="5" t="s">
        <v>10557</v>
      </c>
    </row>
    <row r="14883" spans="1:5" x14ac:dyDescent="0.25">
      <c r="A14883" s="5">
        <f>14875</f>
      </c>
      <c r="B14883" s="5" t="s">
        <v>14154</v>
      </c>
      <c r="C14883" s="5" t="s">
        <v>11</v>
      </c>
      <c r="D14883" s="5" t="s">
        <v>12</v>
      </c>
      <c r="E14883" s="5" t="s">
        <v>10557</v>
      </c>
    </row>
    <row r="14884" spans="1:5" x14ac:dyDescent="0.25">
      <c r="A14884" s="5">
        <f>14876</f>
      </c>
      <c r="B14884" s="5" t="s">
        <v>14155</v>
      </c>
      <c r="C14884" s="5" t="s">
        <v>11</v>
      </c>
      <c r="D14884" s="5" t="s">
        <v>12</v>
      </c>
      <c r="E14884" s="5" t="s">
        <v>3367</v>
      </c>
    </row>
    <row r="14885" spans="1:5" x14ac:dyDescent="0.25">
      <c r="A14885" s="5">
        <f>14877</f>
      </c>
      <c r="B14885" s="5" t="s">
        <v>14156</v>
      </c>
      <c r="C14885" s="5" t="s">
        <v>11</v>
      </c>
      <c r="D14885" s="5" t="s">
        <v>12</v>
      </c>
      <c r="E14885" s="5" t="s">
        <v>875</v>
      </c>
    </row>
    <row r="14886" spans="1:5" x14ac:dyDescent="0.25">
      <c r="A14886" s="5">
        <f>14878</f>
      </c>
      <c r="B14886" s="5" t="s">
        <v>14157</v>
      </c>
      <c r="C14886" s="5" t="s">
        <v>11</v>
      </c>
      <c r="D14886" s="5" t="s">
        <v>12</v>
      </c>
      <c r="E14886" s="5" t="s">
        <v>875</v>
      </c>
    </row>
    <row r="14887" spans="1:5" x14ac:dyDescent="0.25">
      <c r="A14887" s="5">
        <f>14879</f>
      </c>
      <c r="B14887" s="5" t="s">
        <v>14158</v>
      </c>
      <c r="C14887" s="5" t="s">
        <v>11</v>
      </c>
      <c r="D14887" s="5" t="s">
        <v>12</v>
      </c>
      <c r="E14887" s="5" t="s">
        <v>2389</v>
      </c>
    </row>
    <row r="14888" spans="1:5" x14ac:dyDescent="0.25">
      <c r="A14888" s="5">
        <f>14880</f>
      </c>
      <c r="B14888" s="5" t="s">
        <v>14159</v>
      </c>
      <c r="C14888" s="5" t="s">
        <v>11</v>
      </c>
      <c r="D14888" s="5" t="s">
        <v>12</v>
      </c>
      <c r="E14888" s="5" t="s">
        <v>781</v>
      </c>
    </row>
    <row r="14889" spans="1:5" x14ac:dyDescent="0.25">
      <c r="A14889" s="5">
        <f>14881</f>
      </c>
      <c r="B14889" s="5" t="s">
        <v>14160</v>
      </c>
      <c r="C14889" s="5" t="s">
        <v>11</v>
      </c>
      <c r="D14889" s="5" t="s">
        <v>12</v>
      </c>
      <c r="E14889" s="5" t="s">
        <v>4164</v>
      </c>
    </row>
    <row r="14890" spans="1:5" x14ac:dyDescent="0.25">
      <c r="A14890" s="5">
        <f>14882</f>
      </c>
      <c r="B14890" s="5" t="s">
        <v>14161</v>
      </c>
      <c r="C14890" s="5" t="s">
        <v>11</v>
      </c>
      <c r="D14890" s="5" t="s">
        <v>12</v>
      </c>
      <c r="E14890" s="5" t="s">
        <v>875</v>
      </c>
    </row>
    <row r="14891" spans="1:5" x14ac:dyDescent="0.25">
      <c r="A14891" s="5">
        <f>14883</f>
      </c>
      <c r="B14891" s="5" t="s">
        <v>14162</v>
      </c>
      <c r="C14891" s="5" t="s">
        <v>11</v>
      </c>
      <c r="D14891" s="5" t="s">
        <v>12</v>
      </c>
      <c r="E14891" s="5" t="s">
        <v>2404</v>
      </c>
    </row>
    <row r="14892" spans="1:5" x14ac:dyDescent="0.25">
      <c r="A14892" s="5">
        <f>14884</f>
      </c>
      <c r="B14892" s="5" t="s">
        <v>14163</v>
      </c>
      <c r="C14892" s="5" t="s">
        <v>11</v>
      </c>
      <c r="D14892" s="5" t="s">
        <v>12</v>
      </c>
      <c r="E14892" s="5" t="s">
        <v>2665</v>
      </c>
    </row>
    <row r="14893" spans="1:5" x14ac:dyDescent="0.25">
      <c r="A14893" s="5">
        <f>14885</f>
      </c>
      <c r="B14893" s="5" t="s">
        <v>14164</v>
      </c>
      <c r="C14893" s="5" t="s">
        <v>11</v>
      </c>
      <c r="D14893" s="5" t="s">
        <v>12</v>
      </c>
      <c r="E14893" s="5" t="s">
        <v>3589</v>
      </c>
    </row>
    <row r="14894" spans="1:5" x14ac:dyDescent="0.25">
      <c r="A14894" s="5">
        <f>14886</f>
      </c>
      <c r="B14894" s="5" t="s">
        <v>14165</v>
      </c>
      <c r="C14894" s="5" t="s">
        <v>11</v>
      </c>
      <c r="D14894" s="5" t="s">
        <v>12</v>
      </c>
      <c r="E14894" s="5" t="s">
        <v>3589</v>
      </c>
    </row>
    <row r="14895" spans="1:5" x14ac:dyDescent="0.25">
      <c r="A14895" s="5">
        <f>14887</f>
      </c>
      <c r="B14895" s="5" t="s">
        <v>14166</v>
      </c>
      <c r="C14895" s="5" t="s">
        <v>11</v>
      </c>
      <c r="D14895" s="5" t="s">
        <v>12</v>
      </c>
      <c r="E14895" s="5" t="s">
        <v>3589</v>
      </c>
    </row>
    <row r="14896" spans="1:5" x14ac:dyDescent="0.25">
      <c r="A14896" s="5">
        <f>14888</f>
      </c>
      <c r="B14896" s="5" t="s">
        <v>14167</v>
      </c>
      <c r="C14896" s="5" t="s">
        <v>11</v>
      </c>
      <c r="D14896" s="5" t="s">
        <v>12</v>
      </c>
      <c r="E14896" s="5" t="s">
        <v>3589</v>
      </c>
    </row>
    <row r="14897" spans="1:5" x14ac:dyDescent="0.25">
      <c r="A14897" s="5">
        <f>14889</f>
      </c>
      <c r="B14897" s="5" t="s">
        <v>14168</v>
      </c>
      <c r="C14897" s="5" t="s">
        <v>11</v>
      </c>
      <c r="D14897" s="5" t="s">
        <v>12</v>
      </c>
      <c r="E14897" s="5" t="s">
        <v>3589</v>
      </c>
    </row>
    <row r="14898" spans="1:5" x14ac:dyDescent="0.25">
      <c r="A14898" s="5">
        <f>14890</f>
      </c>
      <c r="B14898" s="5" t="s">
        <v>14169</v>
      </c>
      <c r="C14898" s="5" t="s">
        <v>11</v>
      </c>
      <c r="D14898" s="5" t="s">
        <v>12</v>
      </c>
      <c r="E14898" s="5" t="s">
        <v>3589</v>
      </c>
    </row>
    <row r="14899" spans="1:5" x14ac:dyDescent="0.25">
      <c r="A14899" s="5">
        <f>14891</f>
      </c>
      <c r="B14899" s="5" t="s">
        <v>14170</v>
      </c>
      <c r="C14899" s="5" t="s">
        <v>11</v>
      </c>
      <c r="D14899" s="5" t="s">
        <v>12</v>
      </c>
      <c r="E14899" s="5" t="s">
        <v>3589</v>
      </c>
    </row>
    <row r="14900" spans="1:5" x14ac:dyDescent="0.25">
      <c r="A14900" s="5">
        <f>14892</f>
      </c>
      <c r="B14900" s="5" t="s">
        <v>14171</v>
      </c>
      <c r="C14900" s="5" t="s">
        <v>11</v>
      </c>
      <c r="D14900" s="5" t="s">
        <v>12</v>
      </c>
      <c r="E14900" s="5" t="s">
        <v>3589</v>
      </c>
    </row>
    <row r="14901" spans="1:5" x14ac:dyDescent="0.25">
      <c r="A14901" s="5">
        <f>14893</f>
      </c>
      <c r="B14901" s="5" t="s">
        <v>14172</v>
      </c>
      <c r="C14901" s="5" t="s">
        <v>11</v>
      </c>
      <c r="D14901" s="5" t="s">
        <v>12</v>
      </c>
      <c r="E14901" s="5" t="s">
        <v>3589</v>
      </c>
    </row>
    <row r="14902" spans="1:5" x14ac:dyDescent="0.25">
      <c r="A14902" s="5">
        <f>14894</f>
      </c>
      <c r="B14902" s="5" t="s">
        <v>14173</v>
      </c>
      <c r="C14902" s="5" t="s">
        <v>11</v>
      </c>
      <c r="D14902" s="5" t="s">
        <v>12</v>
      </c>
      <c r="E14902" s="5" t="s">
        <v>3589</v>
      </c>
    </row>
    <row r="14903" spans="1:5" x14ac:dyDescent="0.25">
      <c r="A14903" s="5">
        <f>14895</f>
      </c>
      <c r="B14903" s="5" t="s">
        <v>14174</v>
      </c>
      <c r="C14903" s="5" t="s">
        <v>11</v>
      </c>
      <c r="D14903" s="5" t="s">
        <v>12</v>
      </c>
      <c r="E14903" s="5" t="s">
        <v>3589</v>
      </c>
    </row>
    <row r="14904" spans="1:5" x14ac:dyDescent="0.25">
      <c r="A14904" s="5">
        <f>14896</f>
      </c>
      <c r="B14904" s="5" t="s">
        <v>14175</v>
      </c>
      <c r="C14904" s="5" t="s">
        <v>11</v>
      </c>
      <c r="D14904" s="5" t="s">
        <v>12</v>
      </c>
      <c r="E14904" s="5" t="s">
        <v>3589</v>
      </c>
    </row>
    <row r="14905" spans="1:5" x14ac:dyDescent="0.25">
      <c r="A14905" s="5">
        <f>14897</f>
      </c>
      <c r="B14905" s="5" t="s">
        <v>14176</v>
      </c>
      <c r="C14905" s="5" t="s">
        <v>11</v>
      </c>
      <c r="D14905" s="5" t="s">
        <v>12</v>
      </c>
      <c r="E14905" s="5" t="s">
        <v>3589</v>
      </c>
    </row>
    <row r="14906" spans="1:5" x14ac:dyDescent="0.25">
      <c r="A14906" s="5">
        <f>14898</f>
      </c>
      <c r="B14906" s="5" t="s">
        <v>14177</v>
      </c>
      <c r="C14906" s="5" t="s">
        <v>11</v>
      </c>
      <c r="D14906" s="5" t="s">
        <v>12</v>
      </c>
      <c r="E14906" s="5" t="s">
        <v>3589</v>
      </c>
    </row>
    <row r="14907" spans="1:5" x14ac:dyDescent="0.25">
      <c r="A14907" s="5">
        <f>14899</f>
      </c>
      <c r="B14907" s="5" t="s">
        <v>14178</v>
      </c>
      <c r="C14907" s="5" t="s">
        <v>11</v>
      </c>
      <c r="D14907" s="5" t="s">
        <v>12</v>
      </c>
      <c r="E14907" s="5" t="s">
        <v>3589</v>
      </c>
    </row>
    <row r="14908" spans="1:5" x14ac:dyDescent="0.25">
      <c r="A14908" s="5">
        <f>14900</f>
      </c>
      <c r="B14908" s="5" t="s">
        <v>14179</v>
      </c>
      <c r="C14908" s="5" t="s">
        <v>11</v>
      </c>
      <c r="D14908" s="5" t="s">
        <v>12</v>
      </c>
      <c r="E14908" s="5" t="s">
        <v>3589</v>
      </c>
    </row>
    <row r="14909" spans="1:5" x14ac:dyDescent="0.25">
      <c r="A14909" s="5">
        <f>14901</f>
      </c>
      <c r="B14909" s="5" t="s">
        <v>14180</v>
      </c>
      <c r="C14909" s="5" t="s">
        <v>11</v>
      </c>
      <c r="D14909" s="5" t="s">
        <v>12</v>
      </c>
      <c r="E14909" s="5" t="s">
        <v>3589</v>
      </c>
    </row>
    <row r="14910" spans="1:5" x14ac:dyDescent="0.25">
      <c r="A14910" s="5">
        <f>14902</f>
      </c>
      <c r="B14910" s="5" t="s">
        <v>14181</v>
      </c>
      <c r="C14910" s="5" t="s">
        <v>11</v>
      </c>
      <c r="D14910" s="5" t="s">
        <v>12</v>
      </c>
      <c r="E14910" s="5" t="s">
        <v>3589</v>
      </c>
    </row>
    <row r="14911" spans="1:5" x14ac:dyDescent="0.25">
      <c r="A14911" s="5">
        <f>14903</f>
      </c>
      <c r="B14911" s="5" t="s">
        <v>14182</v>
      </c>
      <c r="C14911" s="5" t="s">
        <v>11</v>
      </c>
      <c r="D14911" s="5" t="s">
        <v>12</v>
      </c>
      <c r="E14911" s="5" t="s">
        <v>3589</v>
      </c>
    </row>
    <row r="14912" spans="1:5" x14ac:dyDescent="0.25">
      <c r="A14912" s="5">
        <f>14904</f>
      </c>
      <c r="B14912" s="5" t="s">
        <v>14183</v>
      </c>
      <c r="C14912" s="5" t="s">
        <v>11</v>
      </c>
      <c r="D14912" s="5" t="s">
        <v>12</v>
      </c>
      <c r="E14912" s="5" t="s">
        <v>3589</v>
      </c>
    </row>
    <row r="14913" spans="1:5" x14ac:dyDescent="0.25">
      <c r="A14913" s="5">
        <f>14905</f>
      </c>
      <c r="B14913" s="5" t="s">
        <v>14184</v>
      </c>
      <c r="C14913" s="5" t="s">
        <v>11</v>
      </c>
      <c r="D14913" s="5" t="s">
        <v>12</v>
      </c>
      <c r="E14913" s="5" t="s">
        <v>3589</v>
      </c>
    </row>
    <row r="14914" spans="1:5" x14ac:dyDescent="0.25">
      <c r="A14914" s="5">
        <f>14906</f>
      </c>
      <c r="B14914" s="5" t="s">
        <v>14185</v>
      </c>
      <c r="C14914" s="5" t="s">
        <v>11</v>
      </c>
      <c r="D14914" s="5" t="s">
        <v>12</v>
      </c>
      <c r="E14914" s="5" t="s">
        <v>3589</v>
      </c>
    </row>
    <row r="14915" spans="1:5" x14ac:dyDescent="0.25">
      <c r="A14915" s="5">
        <f>14907</f>
      </c>
      <c r="B14915" s="5" t="s">
        <v>14186</v>
      </c>
      <c r="C14915" s="5" t="s">
        <v>11</v>
      </c>
      <c r="D14915" s="5" t="s">
        <v>12</v>
      </c>
      <c r="E14915" s="5" t="s">
        <v>3589</v>
      </c>
    </row>
    <row r="14916" spans="1:5" x14ac:dyDescent="0.25">
      <c r="A14916" s="5">
        <f>14908</f>
      </c>
      <c r="B14916" s="5" t="s">
        <v>14187</v>
      </c>
      <c r="C14916" s="5" t="s">
        <v>11</v>
      </c>
      <c r="D14916" s="5" t="s">
        <v>12</v>
      </c>
      <c r="E14916" s="5" t="s">
        <v>3589</v>
      </c>
    </row>
    <row r="14917" spans="1:5" x14ac:dyDescent="0.25">
      <c r="A14917" s="5">
        <f>14909</f>
      </c>
      <c r="B14917" s="5" t="s">
        <v>14188</v>
      </c>
      <c r="C14917" s="5" t="s">
        <v>11</v>
      </c>
      <c r="D14917" s="5" t="s">
        <v>12</v>
      </c>
      <c r="E14917" s="5" t="s">
        <v>3589</v>
      </c>
    </row>
    <row r="14918" spans="1:5" x14ac:dyDescent="0.25">
      <c r="A14918" s="5">
        <f>14910</f>
      </c>
      <c r="B14918" s="5" t="s">
        <v>14189</v>
      </c>
      <c r="C14918" s="5" t="s">
        <v>11</v>
      </c>
      <c r="D14918" s="5" t="s">
        <v>12</v>
      </c>
      <c r="E14918" s="5" t="s">
        <v>3589</v>
      </c>
    </row>
    <row r="14919" spans="1:5" x14ac:dyDescent="0.25">
      <c r="A14919" s="5">
        <f>14911</f>
      </c>
      <c r="B14919" s="5" t="s">
        <v>14190</v>
      </c>
      <c r="C14919" s="5" t="s">
        <v>11</v>
      </c>
      <c r="D14919" s="5" t="s">
        <v>12</v>
      </c>
      <c r="E14919" s="5" t="s">
        <v>3589</v>
      </c>
    </row>
    <row r="14920" spans="1:5" x14ac:dyDescent="0.25">
      <c r="A14920" s="5">
        <f>14912</f>
      </c>
      <c r="B14920" s="5" t="s">
        <v>14191</v>
      </c>
      <c r="C14920" s="5" t="s">
        <v>11</v>
      </c>
      <c r="D14920" s="5" t="s">
        <v>12</v>
      </c>
      <c r="E14920" s="5" t="s">
        <v>3589</v>
      </c>
    </row>
    <row r="14921" spans="1:5" x14ac:dyDescent="0.25">
      <c r="A14921" s="5">
        <f>14913</f>
      </c>
      <c r="B14921" s="5" t="s">
        <v>14192</v>
      </c>
      <c r="C14921" s="5" t="s">
        <v>11</v>
      </c>
      <c r="D14921" s="5" t="s">
        <v>12</v>
      </c>
      <c r="E14921" s="5" t="s">
        <v>3589</v>
      </c>
    </row>
    <row r="14922" spans="1:5" x14ac:dyDescent="0.25">
      <c r="A14922" s="5">
        <f>14914</f>
      </c>
      <c r="B14922" s="5" t="s">
        <v>14193</v>
      </c>
      <c r="C14922" s="5" t="s">
        <v>11</v>
      </c>
      <c r="D14922" s="5" t="s">
        <v>12</v>
      </c>
      <c r="E14922" s="5" t="s">
        <v>3589</v>
      </c>
    </row>
    <row r="14923" spans="1:5" x14ac:dyDescent="0.25">
      <c r="A14923" s="5">
        <f>14915</f>
      </c>
      <c r="B14923" s="5" t="s">
        <v>14194</v>
      </c>
      <c r="C14923" s="5" t="s">
        <v>11</v>
      </c>
      <c r="D14923" s="5" t="s">
        <v>12</v>
      </c>
      <c r="E14923" s="5" t="s">
        <v>3586</v>
      </c>
    </row>
    <row r="14924" spans="1:5" x14ac:dyDescent="0.25">
      <c r="A14924" s="5">
        <f>14916</f>
      </c>
      <c r="B14924" s="5" t="s">
        <v>14195</v>
      </c>
      <c r="C14924" s="5" t="s">
        <v>11</v>
      </c>
      <c r="D14924" s="5" t="s">
        <v>12</v>
      </c>
      <c r="E14924" s="5" t="s">
        <v>3586</v>
      </c>
    </row>
    <row r="14925" spans="1:5" x14ac:dyDescent="0.25">
      <c r="A14925" s="5">
        <f>14917</f>
      </c>
      <c r="B14925" s="5" t="s">
        <v>14196</v>
      </c>
      <c r="C14925" s="5" t="s">
        <v>11</v>
      </c>
      <c r="D14925" s="5" t="s">
        <v>12</v>
      </c>
      <c r="E14925" s="5" t="s">
        <v>3586</v>
      </c>
    </row>
    <row r="14926" spans="1:5" x14ac:dyDescent="0.25">
      <c r="A14926" s="5">
        <f>14918</f>
      </c>
      <c r="B14926" s="5" t="s">
        <v>14197</v>
      </c>
      <c r="C14926" s="5" t="s">
        <v>11</v>
      </c>
      <c r="D14926" s="5" t="s">
        <v>12</v>
      </c>
      <c r="E14926" s="5" t="s">
        <v>3586</v>
      </c>
    </row>
    <row r="14927" spans="1:5" x14ac:dyDescent="0.25">
      <c r="A14927" s="5">
        <f>14919</f>
      </c>
      <c r="B14927" s="5" t="s">
        <v>14198</v>
      </c>
      <c r="C14927" s="5" t="s">
        <v>11</v>
      </c>
      <c r="D14927" s="5" t="s">
        <v>12</v>
      </c>
      <c r="E14927" s="5" t="s">
        <v>3586</v>
      </c>
    </row>
    <row r="14928" spans="1:5" x14ac:dyDescent="0.25">
      <c r="A14928" s="5">
        <f>14920</f>
      </c>
      <c r="B14928" s="5" t="s">
        <v>14199</v>
      </c>
      <c r="C14928" s="5" t="s">
        <v>11</v>
      </c>
      <c r="D14928" s="5" t="s">
        <v>12</v>
      </c>
      <c r="E14928" s="5" t="s">
        <v>3586</v>
      </c>
    </row>
    <row r="14929" spans="1:5" x14ac:dyDescent="0.25">
      <c r="A14929" s="5">
        <f>14921</f>
      </c>
      <c r="B14929" s="5" t="s">
        <v>14200</v>
      </c>
      <c r="C14929" s="5" t="s">
        <v>11</v>
      </c>
      <c r="D14929" s="5" t="s">
        <v>12</v>
      </c>
      <c r="E14929" s="5" t="s">
        <v>3586</v>
      </c>
    </row>
    <row r="14930" spans="1:5" x14ac:dyDescent="0.25">
      <c r="A14930" s="5">
        <f>14922</f>
      </c>
      <c r="B14930" s="5" t="s">
        <v>14201</v>
      </c>
      <c r="C14930" s="5" t="s">
        <v>11</v>
      </c>
      <c r="D14930" s="5" t="s">
        <v>12</v>
      </c>
      <c r="E14930" s="5" t="s">
        <v>3586</v>
      </c>
    </row>
    <row r="14931" spans="1:5" x14ac:dyDescent="0.25">
      <c r="A14931" s="5">
        <f>14923</f>
      </c>
      <c r="B14931" s="5" t="s">
        <v>14202</v>
      </c>
      <c r="C14931" s="5" t="s">
        <v>11</v>
      </c>
      <c r="D14931" s="5" t="s">
        <v>12</v>
      </c>
      <c r="E14931" s="5" t="s">
        <v>3586</v>
      </c>
    </row>
    <row r="14932" spans="1:5" x14ac:dyDescent="0.25">
      <c r="A14932" s="5">
        <f>14924</f>
      </c>
      <c r="B14932" s="5" t="s">
        <v>14203</v>
      </c>
      <c r="C14932" s="5" t="s">
        <v>11</v>
      </c>
      <c r="D14932" s="5" t="s">
        <v>12</v>
      </c>
      <c r="E14932" s="5" t="s">
        <v>3586</v>
      </c>
    </row>
    <row r="14933" spans="1:5" x14ac:dyDescent="0.25">
      <c r="A14933" s="5">
        <f>14925</f>
      </c>
      <c r="B14933" s="5" t="s">
        <v>14204</v>
      </c>
      <c r="C14933" s="5" t="s">
        <v>11</v>
      </c>
      <c r="D14933" s="5" t="s">
        <v>12</v>
      </c>
      <c r="E14933" s="5" t="s">
        <v>3586</v>
      </c>
    </row>
    <row r="14934" spans="1:5" x14ac:dyDescent="0.25">
      <c r="A14934" s="5">
        <f>14926</f>
      </c>
      <c r="B14934" s="5" t="s">
        <v>14205</v>
      </c>
      <c r="C14934" s="5" t="s">
        <v>11</v>
      </c>
      <c r="D14934" s="5" t="s">
        <v>12</v>
      </c>
      <c r="E14934" s="5" t="s">
        <v>3586</v>
      </c>
    </row>
    <row r="14935" spans="1:5" x14ac:dyDescent="0.25">
      <c r="A14935" s="5">
        <f>14927</f>
      </c>
      <c r="B14935" s="5" t="s">
        <v>14206</v>
      </c>
      <c r="C14935" s="5" t="s">
        <v>11</v>
      </c>
      <c r="D14935" s="5" t="s">
        <v>12</v>
      </c>
      <c r="E14935" s="5" t="s">
        <v>3586</v>
      </c>
    </row>
    <row r="14936" spans="1:5" x14ac:dyDescent="0.25">
      <c r="A14936" s="5">
        <f>14928</f>
      </c>
      <c r="B14936" s="5" t="s">
        <v>14207</v>
      </c>
      <c r="C14936" s="5" t="s">
        <v>11</v>
      </c>
      <c r="D14936" s="5" t="s">
        <v>12</v>
      </c>
      <c r="E14936" s="5" t="s">
        <v>3586</v>
      </c>
    </row>
    <row r="14937" spans="1:5" x14ac:dyDescent="0.25">
      <c r="A14937" s="5">
        <f>14929</f>
      </c>
      <c r="B14937" s="5" t="s">
        <v>14208</v>
      </c>
      <c r="C14937" s="5" t="s">
        <v>11</v>
      </c>
      <c r="D14937" s="5" t="s">
        <v>12</v>
      </c>
      <c r="E14937" s="5" t="s">
        <v>3586</v>
      </c>
    </row>
    <row r="14938" spans="1:5" x14ac:dyDescent="0.25">
      <c r="A14938" s="5">
        <f>14930</f>
      </c>
      <c r="B14938" s="5" t="s">
        <v>14209</v>
      </c>
      <c r="C14938" s="5" t="s">
        <v>11</v>
      </c>
      <c r="D14938" s="5" t="s">
        <v>12</v>
      </c>
      <c r="E14938" s="5" t="s">
        <v>3586</v>
      </c>
    </row>
    <row r="14939" spans="1:5" x14ac:dyDescent="0.25">
      <c r="A14939" s="5">
        <f>14931</f>
      </c>
      <c r="B14939" s="5" t="s">
        <v>14210</v>
      </c>
      <c r="C14939" s="5" t="s">
        <v>11</v>
      </c>
      <c r="D14939" s="5" t="s">
        <v>12</v>
      </c>
      <c r="E14939" s="5" t="s">
        <v>3586</v>
      </c>
    </row>
    <row r="14940" spans="1:5" x14ac:dyDescent="0.25">
      <c r="A14940" s="5">
        <f>14932</f>
      </c>
      <c r="B14940" s="5" t="s">
        <v>14211</v>
      </c>
      <c r="C14940" s="5" t="s">
        <v>11</v>
      </c>
      <c r="D14940" s="5" t="s">
        <v>12</v>
      </c>
      <c r="E14940" s="5" t="s">
        <v>3586</v>
      </c>
    </row>
    <row r="14941" spans="1:5" x14ac:dyDescent="0.25">
      <c r="A14941" s="5">
        <f>14933</f>
      </c>
      <c r="B14941" s="5" t="s">
        <v>14212</v>
      </c>
      <c r="C14941" s="5" t="s">
        <v>11</v>
      </c>
      <c r="D14941" s="5" t="s">
        <v>12</v>
      </c>
      <c r="E14941" s="5" t="s">
        <v>3586</v>
      </c>
    </row>
    <row r="14942" spans="1:5" x14ac:dyDescent="0.25">
      <c r="A14942" s="5">
        <f>14934</f>
      </c>
      <c r="B14942" s="5" t="s">
        <v>14213</v>
      </c>
      <c r="C14942" s="5" t="s">
        <v>11</v>
      </c>
      <c r="D14942" s="5" t="s">
        <v>12</v>
      </c>
      <c r="E14942" s="5" t="s">
        <v>3586</v>
      </c>
    </row>
    <row r="14943" spans="1:5" x14ac:dyDescent="0.25">
      <c r="A14943" s="5">
        <f>14935</f>
      </c>
      <c r="B14943" s="5" t="s">
        <v>14214</v>
      </c>
      <c r="C14943" s="5" t="s">
        <v>11</v>
      </c>
      <c r="D14943" s="5" t="s">
        <v>12</v>
      </c>
      <c r="E14943" s="5" t="s">
        <v>3586</v>
      </c>
    </row>
    <row r="14944" spans="1:5" x14ac:dyDescent="0.25">
      <c r="A14944" s="5">
        <f>14936</f>
      </c>
      <c r="B14944" s="5" t="s">
        <v>14215</v>
      </c>
      <c r="C14944" s="5" t="s">
        <v>11</v>
      </c>
      <c r="D14944" s="5" t="s">
        <v>12</v>
      </c>
      <c r="E14944" s="5" t="s">
        <v>3586</v>
      </c>
    </row>
    <row r="14945" spans="1:5" x14ac:dyDescent="0.25">
      <c r="A14945" s="5">
        <f>14937</f>
      </c>
      <c r="B14945" s="5" t="s">
        <v>14216</v>
      </c>
      <c r="C14945" s="5" t="s">
        <v>11</v>
      </c>
      <c r="D14945" s="5" t="s">
        <v>12</v>
      </c>
      <c r="E14945" s="5" t="s">
        <v>3586</v>
      </c>
    </row>
    <row r="14946" spans="1:5" x14ac:dyDescent="0.25">
      <c r="A14946" s="5">
        <f>14938</f>
      </c>
      <c r="B14946" s="5" t="s">
        <v>14217</v>
      </c>
      <c r="C14946" s="5" t="s">
        <v>11</v>
      </c>
      <c r="D14946" s="5" t="s">
        <v>12</v>
      </c>
      <c r="E14946" s="5" t="s">
        <v>3586</v>
      </c>
    </row>
    <row r="14947" spans="1:5" x14ac:dyDescent="0.25">
      <c r="A14947" s="5">
        <f>14939</f>
      </c>
      <c r="B14947" s="5" t="s">
        <v>14218</v>
      </c>
      <c r="C14947" s="5" t="s">
        <v>11</v>
      </c>
      <c r="D14947" s="5" t="s">
        <v>12</v>
      </c>
      <c r="E14947" s="5" t="s">
        <v>3586</v>
      </c>
    </row>
    <row r="14948" spans="1:5" x14ac:dyDescent="0.25">
      <c r="A14948" s="5">
        <f>14940</f>
      </c>
      <c r="B14948" s="5" t="s">
        <v>14219</v>
      </c>
      <c r="C14948" s="5" t="s">
        <v>11</v>
      </c>
      <c r="D14948" s="5" t="s">
        <v>12</v>
      </c>
      <c r="E14948" s="5" t="s">
        <v>3586</v>
      </c>
    </row>
    <row r="14949" spans="1:5" x14ac:dyDescent="0.25">
      <c r="A14949" s="5">
        <f>14941</f>
      </c>
      <c r="B14949" s="5" t="s">
        <v>14220</v>
      </c>
      <c r="C14949" s="5" t="s">
        <v>11</v>
      </c>
      <c r="D14949" s="5" t="s">
        <v>12</v>
      </c>
      <c r="E14949" s="5" t="s">
        <v>3586</v>
      </c>
    </row>
    <row r="14950" spans="1:5" x14ac:dyDescent="0.25">
      <c r="A14950" s="5">
        <f>14942</f>
      </c>
      <c r="B14950" s="5" t="s">
        <v>14221</v>
      </c>
      <c r="C14950" s="5" t="s">
        <v>11</v>
      </c>
      <c r="D14950" s="5" t="s">
        <v>12</v>
      </c>
      <c r="E14950" s="5" t="s">
        <v>3586</v>
      </c>
    </row>
    <row r="14951" spans="1:5" x14ac:dyDescent="0.25">
      <c r="A14951" s="5">
        <f>14943</f>
      </c>
      <c r="B14951" s="5" t="s">
        <v>14222</v>
      </c>
      <c r="C14951" s="5" t="s">
        <v>11</v>
      </c>
      <c r="D14951" s="5" t="s">
        <v>12</v>
      </c>
      <c r="E14951" s="5" t="s">
        <v>3586</v>
      </c>
    </row>
    <row r="14952" spans="1:5" x14ac:dyDescent="0.25">
      <c r="A14952" s="5">
        <f>14944</f>
      </c>
      <c r="B14952" s="5" t="s">
        <v>14223</v>
      </c>
      <c r="C14952" s="5" t="s">
        <v>11</v>
      </c>
      <c r="D14952" s="5" t="s">
        <v>12</v>
      </c>
      <c r="E14952" s="5" t="s">
        <v>3586</v>
      </c>
    </row>
    <row r="14953" spans="1:5" x14ac:dyDescent="0.25">
      <c r="A14953" s="5">
        <f>14945</f>
      </c>
      <c r="B14953" s="5" t="s">
        <v>14224</v>
      </c>
      <c r="C14953" s="5" t="s">
        <v>11</v>
      </c>
      <c r="D14953" s="5" t="s">
        <v>12</v>
      </c>
      <c r="E14953" s="5" t="s">
        <v>3586</v>
      </c>
    </row>
    <row r="14954" spans="1:5" x14ac:dyDescent="0.25">
      <c r="A14954" s="5">
        <f>14946</f>
      </c>
      <c r="B14954" s="5" t="s">
        <v>14225</v>
      </c>
      <c r="C14954" s="5" t="s">
        <v>11</v>
      </c>
      <c r="D14954" s="5" t="s">
        <v>12</v>
      </c>
      <c r="E14954" s="5" t="s">
        <v>3586</v>
      </c>
    </row>
    <row r="14955" spans="1:5" x14ac:dyDescent="0.25">
      <c r="A14955" s="5">
        <f>14947</f>
      </c>
      <c r="B14955" s="5" t="s">
        <v>14226</v>
      </c>
      <c r="C14955" s="5" t="s">
        <v>11</v>
      </c>
      <c r="D14955" s="5" t="s">
        <v>12</v>
      </c>
      <c r="E14955" s="5" t="s">
        <v>3586</v>
      </c>
    </row>
    <row r="14956" spans="1:5" x14ac:dyDescent="0.25">
      <c r="A14956" s="5">
        <f>14948</f>
      </c>
      <c r="B14956" s="5" t="s">
        <v>14227</v>
      </c>
      <c r="C14956" s="5" t="s">
        <v>11</v>
      </c>
      <c r="D14956" s="5" t="s">
        <v>12</v>
      </c>
      <c r="E14956" s="5" t="s">
        <v>3586</v>
      </c>
    </row>
    <row r="14957" spans="1:5" x14ac:dyDescent="0.25">
      <c r="A14957" s="5">
        <f>14949</f>
      </c>
      <c r="B14957" s="5" t="s">
        <v>14228</v>
      </c>
      <c r="C14957" s="5" t="s">
        <v>11</v>
      </c>
      <c r="D14957" s="5" t="s">
        <v>12</v>
      </c>
      <c r="E14957" s="5" t="s">
        <v>3586</v>
      </c>
    </row>
    <row r="14958" spans="1:5" x14ac:dyDescent="0.25">
      <c r="A14958" s="5">
        <f>14950</f>
      </c>
      <c r="B14958" s="5" t="s">
        <v>14229</v>
      </c>
      <c r="C14958" s="5" t="s">
        <v>11</v>
      </c>
      <c r="D14958" s="5" t="s">
        <v>12</v>
      </c>
      <c r="E14958" s="5" t="s">
        <v>3586</v>
      </c>
    </row>
    <row r="14959" spans="1:5" x14ac:dyDescent="0.25">
      <c r="A14959" s="5">
        <f>14951</f>
      </c>
      <c r="B14959" s="5" t="s">
        <v>14230</v>
      </c>
      <c r="C14959" s="5" t="s">
        <v>11</v>
      </c>
      <c r="D14959" s="5" t="s">
        <v>12</v>
      </c>
      <c r="E14959" s="5" t="s">
        <v>3586</v>
      </c>
    </row>
    <row r="14960" spans="1:5" x14ac:dyDescent="0.25">
      <c r="A14960" s="5">
        <f>14952</f>
      </c>
      <c r="B14960" s="5" t="s">
        <v>14231</v>
      </c>
      <c r="C14960" s="5" t="s">
        <v>11</v>
      </c>
      <c r="D14960" s="5" t="s">
        <v>12</v>
      </c>
      <c r="E14960" s="5" t="s">
        <v>10541</v>
      </c>
    </row>
    <row r="14961" spans="1:5" x14ac:dyDescent="0.25">
      <c r="A14961" s="5">
        <f>14953</f>
      </c>
      <c r="B14961" s="5" t="s">
        <v>14232</v>
      </c>
      <c r="C14961" s="5" t="s">
        <v>11</v>
      </c>
      <c r="D14961" s="5" t="s">
        <v>12</v>
      </c>
      <c r="E14961" s="5" t="s">
        <v>2402</v>
      </c>
    </row>
    <row r="14962" spans="1:5" x14ac:dyDescent="0.25">
      <c r="A14962" s="5">
        <f>14954</f>
      </c>
      <c r="B14962" s="5" t="s">
        <v>14233</v>
      </c>
      <c r="C14962" s="5" t="s">
        <v>11</v>
      </c>
      <c r="D14962" s="5" t="s">
        <v>12</v>
      </c>
      <c r="E14962" s="5" t="s">
        <v>4048</v>
      </c>
    </row>
    <row r="14963" spans="1:5" x14ac:dyDescent="0.25">
      <c r="A14963" s="5">
        <f>14955</f>
      </c>
      <c r="B14963" s="5" t="s">
        <v>14234</v>
      </c>
      <c r="C14963" s="5" t="s">
        <v>11</v>
      </c>
      <c r="D14963" s="5" t="s">
        <v>12</v>
      </c>
      <c r="E14963" s="5" t="s">
        <v>972</v>
      </c>
    </row>
    <row r="14964" spans="1:5" x14ac:dyDescent="0.25">
      <c r="A14964" s="5">
        <f>14956</f>
      </c>
      <c r="B14964" s="5" t="s">
        <v>14235</v>
      </c>
      <c r="C14964" s="5" t="s">
        <v>11</v>
      </c>
      <c r="D14964" s="5" t="s">
        <v>12</v>
      </c>
      <c r="E14964" s="5" t="s">
        <v>972</v>
      </c>
    </row>
    <row r="14965" spans="1:5" x14ac:dyDescent="0.25">
      <c r="A14965" s="5">
        <f>14957</f>
      </c>
      <c r="B14965" s="5" t="s">
        <v>14236</v>
      </c>
      <c r="C14965" s="5" t="s">
        <v>11</v>
      </c>
      <c r="D14965" s="5" t="s">
        <v>12</v>
      </c>
      <c r="E14965" s="5" t="s">
        <v>3549</v>
      </c>
    </row>
    <row r="14966" spans="1:5" x14ac:dyDescent="0.25">
      <c r="A14966" s="5">
        <f>14958</f>
      </c>
      <c r="B14966" s="5" t="s">
        <v>14237</v>
      </c>
      <c r="C14966" s="5" t="s">
        <v>11</v>
      </c>
      <c r="D14966" s="5" t="s">
        <v>12</v>
      </c>
      <c r="E14966" s="5" t="s">
        <v>3549</v>
      </c>
    </row>
    <row r="14967" spans="1:5" x14ac:dyDescent="0.25">
      <c r="A14967" s="5">
        <f>14959</f>
      </c>
      <c r="B14967" s="5" t="s">
        <v>14238</v>
      </c>
      <c r="C14967" s="5" t="s">
        <v>11</v>
      </c>
      <c r="D14967" s="5" t="s">
        <v>12</v>
      </c>
      <c r="E14967" s="5" t="s">
        <v>734</v>
      </c>
    </row>
    <row r="14968" spans="1:5" x14ac:dyDescent="0.25">
      <c r="A14968" s="5">
        <f>14960</f>
      </c>
      <c r="B14968" s="5" t="s">
        <v>14239</v>
      </c>
      <c r="C14968" s="5" t="s">
        <v>11</v>
      </c>
      <c r="D14968" s="5" t="s">
        <v>12</v>
      </c>
      <c r="E14968" s="5" t="s">
        <v>3538</v>
      </c>
    </row>
    <row r="14969" spans="1:5" x14ac:dyDescent="0.25">
      <c r="A14969" s="5">
        <f>14961</f>
      </c>
      <c r="B14969" s="5" t="s">
        <v>14240</v>
      </c>
      <c r="C14969" s="5" t="s">
        <v>11</v>
      </c>
      <c r="D14969" s="5" t="s">
        <v>12</v>
      </c>
      <c r="E14969" s="5" t="s">
        <v>3496</v>
      </c>
    </row>
    <row r="14970" spans="1:5" x14ac:dyDescent="0.25">
      <c r="A14970" s="5">
        <f>14962</f>
      </c>
      <c r="B14970" s="5" t="s">
        <v>14241</v>
      </c>
      <c r="C14970" s="5" t="s">
        <v>11</v>
      </c>
      <c r="D14970" s="5" t="s">
        <v>12</v>
      </c>
      <c r="E14970" s="5" t="s">
        <v>11475</v>
      </c>
    </row>
    <row r="14971" spans="1:5" x14ac:dyDescent="0.25">
      <c r="A14971" s="5">
        <f>14963</f>
      </c>
      <c r="B14971" s="5" t="s">
        <v>14242</v>
      </c>
      <c r="C14971" s="5" t="s">
        <v>11</v>
      </c>
      <c r="D14971" s="5" t="s">
        <v>12</v>
      </c>
      <c r="E14971" s="5" t="s">
        <v>2304</v>
      </c>
    </row>
    <row r="14972" spans="1:5" x14ac:dyDescent="0.25">
      <c r="A14972" s="5">
        <f>14964</f>
      </c>
      <c r="B14972" s="5" t="s">
        <v>14243</v>
      </c>
      <c r="C14972" s="5" t="s">
        <v>11</v>
      </c>
      <c r="D14972" s="5" t="s">
        <v>12</v>
      </c>
      <c r="E14972" s="5" t="s">
        <v>3927</v>
      </c>
    </row>
    <row r="14973" spans="1:5" x14ac:dyDescent="0.25">
      <c r="A14973" s="5">
        <f>14965</f>
      </c>
      <c r="B14973" s="5" t="s">
        <v>14244</v>
      </c>
      <c r="C14973" s="5" t="s">
        <v>11</v>
      </c>
      <c r="D14973" s="5" t="s">
        <v>12</v>
      </c>
      <c r="E14973" s="5" t="s">
        <v>3927</v>
      </c>
    </row>
    <row r="14974" spans="1:5" x14ac:dyDescent="0.25">
      <c r="A14974" s="5">
        <f>14966</f>
      </c>
      <c r="B14974" s="5" t="s">
        <v>14245</v>
      </c>
      <c r="C14974" s="5" t="s">
        <v>11</v>
      </c>
      <c r="D14974" s="5" t="s">
        <v>12</v>
      </c>
      <c r="E14974" s="5" t="s">
        <v>3927</v>
      </c>
    </row>
    <row r="14975" spans="1:5" x14ac:dyDescent="0.25">
      <c r="A14975" s="5">
        <f>14967</f>
      </c>
      <c r="B14975" s="5" t="s">
        <v>14246</v>
      </c>
      <c r="C14975" s="5" t="s">
        <v>11</v>
      </c>
      <c r="D14975" s="5" t="s">
        <v>12</v>
      </c>
      <c r="E14975" s="5" t="s">
        <v>2412</v>
      </c>
    </row>
    <row r="14976" spans="1:5" x14ac:dyDescent="0.25">
      <c r="A14976" s="5">
        <f>14968</f>
      </c>
      <c r="B14976" s="5" t="s">
        <v>14247</v>
      </c>
      <c r="C14976" s="5" t="s">
        <v>11</v>
      </c>
      <c r="D14976" s="5" t="s">
        <v>12</v>
      </c>
      <c r="E14976" s="5" t="s">
        <v>2412</v>
      </c>
    </row>
    <row r="14977" spans="1:5" x14ac:dyDescent="0.25">
      <c r="A14977" s="5">
        <f>14969</f>
      </c>
      <c r="B14977" s="5" t="s">
        <v>14248</v>
      </c>
      <c r="C14977" s="5" t="s">
        <v>11</v>
      </c>
      <c r="D14977" s="5" t="s">
        <v>12</v>
      </c>
      <c r="E14977" s="5" t="s">
        <v>3604</v>
      </c>
    </row>
    <row r="14978" spans="1:5" x14ac:dyDescent="0.25">
      <c r="A14978" s="5">
        <f>14970</f>
      </c>
      <c r="B14978" s="5" t="s">
        <v>14249</v>
      </c>
      <c r="C14978" s="5" t="s">
        <v>11</v>
      </c>
      <c r="D14978" s="5" t="s">
        <v>12</v>
      </c>
      <c r="E14978" s="5" t="s">
        <v>1036</v>
      </c>
    </row>
    <row r="14979" spans="1:5" x14ac:dyDescent="0.25">
      <c r="A14979" s="5">
        <f>14971</f>
      </c>
      <c r="B14979" s="5" t="s">
        <v>14250</v>
      </c>
      <c r="C14979" s="5" t="s">
        <v>11</v>
      </c>
      <c r="D14979" s="5" t="s">
        <v>12</v>
      </c>
      <c r="E14979" s="5" t="s">
        <v>1036</v>
      </c>
    </row>
    <row r="14980" spans="1:5" x14ac:dyDescent="0.25">
      <c r="A14980" s="5">
        <f>14972</f>
      </c>
      <c r="B14980" s="5" t="s">
        <v>14251</v>
      </c>
      <c r="C14980" s="5" t="s">
        <v>11</v>
      </c>
      <c r="D14980" s="5" t="s">
        <v>12</v>
      </c>
      <c r="E14980" s="5" t="s">
        <v>1074</v>
      </c>
    </row>
    <row r="14981" spans="1:5" x14ac:dyDescent="0.25">
      <c r="A14981" s="5">
        <f>14973</f>
      </c>
      <c r="B14981" s="5" t="s">
        <v>14252</v>
      </c>
      <c r="C14981" s="5" t="s">
        <v>11</v>
      </c>
      <c r="D14981" s="5" t="s">
        <v>12</v>
      </c>
      <c r="E14981" s="5" t="s">
        <v>4051</v>
      </c>
    </row>
    <row r="14982" spans="1:5" x14ac:dyDescent="0.25">
      <c r="A14982" s="5">
        <f>14974</f>
      </c>
      <c r="B14982" s="5" t="s">
        <v>14253</v>
      </c>
      <c r="C14982" s="5" t="s">
        <v>11</v>
      </c>
      <c r="D14982" s="5" t="s">
        <v>12</v>
      </c>
      <c r="E14982" s="5" t="s">
        <v>10622</v>
      </c>
    </row>
    <row r="14983" spans="1:5" x14ac:dyDescent="0.25">
      <c r="A14983" s="5">
        <f>14975</f>
      </c>
      <c r="B14983" s="5" t="s">
        <v>14254</v>
      </c>
      <c r="C14983" s="5" t="s">
        <v>11</v>
      </c>
      <c r="D14983" s="5" t="s">
        <v>12</v>
      </c>
      <c r="E14983" s="5" t="s">
        <v>2244</v>
      </c>
    </row>
    <row r="14984" spans="1:5" x14ac:dyDescent="0.25">
      <c r="A14984" s="5">
        <f>14976</f>
      </c>
      <c r="B14984" s="5" t="s">
        <v>14255</v>
      </c>
      <c r="C14984" s="5" t="s">
        <v>11</v>
      </c>
      <c r="D14984" s="5" t="s">
        <v>12</v>
      </c>
      <c r="E14984" s="5" t="s">
        <v>2244</v>
      </c>
    </row>
    <row r="14985" spans="1:5" x14ac:dyDescent="0.25">
      <c r="A14985" s="5">
        <f>14977</f>
      </c>
      <c r="B14985" s="5" t="s">
        <v>14256</v>
      </c>
      <c r="C14985" s="5" t="s">
        <v>11</v>
      </c>
      <c r="D14985" s="5" t="s">
        <v>12</v>
      </c>
      <c r="E14985" s="5" t="s">
        <v>4066</v>
      </c>
    </row>
    <row r="14986" spans="1:5" x14ac:dyDescent="0.25">
      <c r="A14986" s="5">
        <f>14978</f>
      </c>
      <c r="B14986" s="5" t="s">
        <v>14257</v>
      </c>
      <c r="C14986" s="5" t="s">
        <v>11</v>
      </c>
      <c r="D14986" s="5" t="s">
        <v>12</v>
      </c>
      <c r="E14986" s="5" t="s">
        <v>2404</v>
      </c>
    </row>
    <row r="14987" spans="1:5" x14ac:dyDescent="0.25">
      <c r="A14987" s="5">
        <f>14979</f>
      </c>
      <c r="B14987" s="5" t="s">
        <v>14258</v>
      </c>
      <c r="C14987" s="5" t="s">
        <v>11</v>
      </c>
      <c r="D14987" s="5" t="s">
        <v>12</v>
      </c>
      <c r="E14987" s="5" t="s">
        <v>784</v>
      </c>
    </row>
    <row r="14988" spans="1:5" x14ac:dyDescent="0.25">
      <c r="A14988" s="5">
        <f>14980</f>
      </c>
      <c r="B14988" s="5" t="s">
        <v>14259</v>
      </c>
      <c r="C14988" s="5" t="s">
        <v>11</v>
      </c>
      <c r="D14988" s="5" t="s">
        <v>12</v>
      </c>
      <c r="E14988" s="5" t="s">
        <v>3610</v>
      </c>
    </row>
    <row r="14989" spans="1:5" x14ac:dyDescent="0.25">
      <c r="A14989" s="5">
        <f>14981</f>
      </c>
      <c r="B14989" s="5" t="s">
        <v>14260</v>
      </c>
      <c r="C14989" s="5" t="s">
        <v>11</v>
      </c>
      <c r="D14989" s="5" t="s">
        <v>12</v>
      </c>
      <c r="E14989" s="5" t="s">
        <v>832</v>
      </c>
    </row>
    <row r="14990" spans="1:5" x14ac:dyDescent="0.25">
      <c r="A14990" s="5">
        <f>14982</f>
      </c>
      <c r="B14990" s="5" t="s">
        <v>14261</v>
      </c>
      <c r="C14990" s="5" t="s">
        <v>11</v>
      </c>
      <c r="D14990" s="5" t="s">
        <v>12</v>
      </c>
      <c r="E14990" s="5" t="s">
        <v>3606</v>
      </c>
    </row>
    <row r="14991" spans="1:5" x14ac:dyDescent="0.25">
      <c r="A14991" s="5">
        <f>14983</f>
      </c>
      <c r="B14991" s="5" t="s">
        <v>14262</v>
      </c>
      <c r="C14991" s="5" t="s">
        <v>11</v>
      </c>
      <c r="D14991" s="5" t="s">
        <v>12</v>
      </c>
      <c r="E14991" s="5" t="s">
        <v>3506</v>
      </c>
    </row>
    <row r="14992" spans="1:5" x14ac:dyDescent="0.25">
      <c r="A14992" s="5">
        <f>14984</f>
      </c>
      <c r="B14992" s="5" t="s">
        <v>14263</v>
      </c>
      <c r="C14992" s="5" t="s">
        <v>11</v>
      </c>
      <c r="D14992" s="5" t="s">
        <v>12</v>
      </c>
      <c r="E14992" s="5" t="s">
        <v>2614</v>
      </c>
    </row>
    <row r="14993" spans="1:5" x14ac:dyDescent="0.25">
      <c r="A14993" s="5">
        <f>14985</f>
      </c>
      <c r="B14993" s="5" t="s">
        <v>14264</v>
      </c>
      <c r="C14993" s="5" t="s">
        <v>11</v>
      </c>
      <c r="D14993" s="5" t="s">
        <v>12</v>
      </c>
      <c r="E14993" s="5" t="s">
        <v>3506</v>
      </c>
    </row>
    <row r="14994" spans="1:5" x14ac:dyDescent="0.25">
      <c r="A14994" s="5">
        <f>14986</f>
      </c>
      <c r="B14994" s="5" t="s">
        <v>14265</v>
      </c>
      <c r="C14994" s="5" t="s">
        <v>11</v>
      </c>
      <c r="D14994" s="5" t="s">
        <v>12</v>
      </c>
      <c r="E14994" s="5" t="s">
        <v>3506</v>
      </c>
    </row>
    <row r="14995" spans="1:5" x14ac:dyDescent="0.25">
      <c r="A14995" s="5">
        <f>14987</f>
      </c>
      <c r="B14995" s="5" t="s">
        <v>14266</v>
      </c>
      <c r="C14995" s="5" t="s">
        <v>11</v>
      </c>
      <c r="D14995" s="5" t="s">
        <v>12</v>
      </c>
      <c r="E14995" s="5" t="s">
        <v>4075</v>
      </c>
    </row>
    <row r="14996" spans="1:5" x14ac:dyDescent="0.25">
      <c r="A14996" s="5">
        <f>14988</f>
      </c>
      <c r="B14996" s="5" t="s">
        <v>14267</v>
      </c>
      <c r="C14996" s="5" t="s">
        <v>11</v>
      </c>
      <c r="D14996" s="5" t="s">
        <v>12</v>
      </c>
      <c r="E14996" s="5" t="s">
        <v>1060</v>
      </c>
    </row>
    <row r="14997" spans="1:5" x14ac:dyDescent="0.25">
      <c r="A14997" s="5">
        <f>14989</f>
      </c>
      <c r="B14997" s="5" t="s">
        <v>14268</v>
      </c>
      <c r="C14997" s="5" t="s">
        <v>11</v>
      </c>
      <c r="D14997" s="5" t="s">
        <v>12</v>
      </c>
      <c r="E14997" s="5" t="s">
        <v>1060</v>
      </c>
    </row>
    <row r="14998" spans="1:5" x14ac:dyDescent="0.25">
      <c r="A14998" s="5">
        <f>14990</f>
      </c>
      <c r="B14998" s="5" t="s">
        <v>14269</v>
      </c>
      <c r="C14998" s="5" t="s">
        <v>11</v>
      </c>
      <c r="D14998" s="5" t="s">
        <v>12</v>
      </c>
      <c r="E14998" s="5" t="s">
        <v>2333</v>
      </c>
    </row>
    <row r="14999" spans="1:5" x14ac:dyDescent="0.25">
      <c r="A14999" s="5">
        <f>14991</f>
      </c>
      <c r="B14999" s="5" t="s">
        <v>14270</v>
      </c>
      <c r="C14999" s="5" t="s">
        <v>11</v>
      </c>
      <c r="D14999" s="5" t="s">
        <v>12</v>
      </c>
      <c r="E14999" s="5" t="s">
        <v>10618</v>
      </c>
    </row>
    <row r="15000" spans="1:5" x14ac:dyDescent="0.25">
      <c r="A15000" s="5">
        <f>14992</f>
      </c>
      <c r="B15000" s="5" t="s">
        <v>14271</v>
      </c>
      <c r="C15000" s="5" t="s">
        <v>11</v>
      </c>
      <c r="D15000" s="5" t="s">
        <v>12</v>
      </c>
      <c r="E15000" s="5" t="s">
        <v>885</v>
      </c>
    </row>
    <row r="15001" spans="1:5" x14ac:dyDescent="0.25">
      <c r="A15001" s="5">
        <f>14993</f>
      </c>
      <c r="B15001" s="5" t="s">
        <v>14272</v>
      </c>
      <c r="C15001" s="5" t="s">
        <v>11</v>
      </c>
      <c r="D15001" s="5" t="s">
        <v>12</v>
      </c>
      <c r="E15001" s="5" t="s">
        <v>1077</v>
      </c>
    </row>
    <row r="15002" spans="1:5" x14ac:dyDescent="0.25">
      <c r="A15002" s="5">
        <f>14994</f>
      </c>
      <c r="B15002" s="5" t="s">
        <v>14273</v>
      </c>
      <c r="C15002" s="5" t="s">
        <v>11</v>
      </c>
      <c r="D15002" s="5" t="s">
        <v>12</v>
      </c>
      <c r="E15002" s="5" t="s">
        <v>1077</v>
      </c>
    </row>
    <row r="15003" spans="1:5" x14ac:dyDescent="0.25">
      <c r="A15003" s="5">
        <f>14995</f>
      </c>
      <c r="B15003" s="5" t="s">
        <v>14274</v>
      </c>
      <c r="C15003" s="5" t="s">
        <v>11</v>
      </c>
      <c r="D15003" s="5" t="s">
        <v>12</v>
      </c>
      <c r="E15003" s="5" t="s">
        <v>720</v>
      </c>
    </row>
    <row r="15004" spans="1:5" x14ac:dyDescent="0.25">
      <c r="A15004" s="5">
        <f>14996</f>
      </c>
      <c r="B15004" s="5" t="s">
        <v>14275</v>
      </c>
      <c r="C15004" s="5" t="s">
        <v>11</v>
      </c>
      <c r="D15004" s="5" t="s">
        <v>12</v>
      </c>
      <c r="E15004" s="5" t="s">
        <v>2600</v>
      </c>
    </row>
    <row r="15005" spans="1:5" x14ac:dyDescent="0.25">
      <c r="A15005" s="5">
        <f>14997</f>
      </c>
      <c r="B15005" s="5" t="s">
        <v>14276</v>
      </c>
      <c r="C15005" s="5" t="s">
        <v>11</v>
      </c>
      <c r="D15005" s="5" t="s">
        <v>12</v>
      </c>
      <c r="E15005" s="5" t="s">
        <v>892</v>
      </c>
    </row>
    <row r="15006" spans="1:5" x14ac:dyDescent="0.25">
      <c r="A15006" s="5">
        <f>14998</f>
      </c>
      <c r="B15006" s="5" t="s">
        <v>14277</v>
      </c>
      <c r="C15006" s="5" t="s">
        <v>11</v>
      </c>
      <c r="D15006" s="5" t="s">
        <v>12</v>
      </c>
      <c r="E15006" s="5" t="s">
        <v>9578</v>
      </c>
    </row>
    <row r="15007" spans="1:5" x14ac:dyDescent="0.25">
      <c r="A15007" s="5">
        <f>14999</f>
      </c>
      <c r="B15007" s="5" t="s">
        <v>14278</v>
      </c>
      <c r="C15007" s="5" t="s">
        <v>11</v>
      </c>
      <c r="D15007" s="5" t="s">
        <v>12</v>
      </c>
      <c r="E15007" s="5" t="s">
        <v>10549</v>
      </c>
    </row>
    <row r="15008" spans="1:5" x14ac:dyDescent="0.25">
      <c r="A15008" s="5">
        <f>15000</f>
      </c>
      <c r="B15008" s="5" t="s">
        <v>14279</v>
      </c>
      <c r="C15008" s="5" t="s">
        <v>11</v>
      </c>
      <c r="D15008" s="5" t="s">
        <v>12</v>
      </c>
      <c r="E15008" s="5" t="s">
        <v>3924</v>
      </c>
    </row>
    <row r="15009" spans="1:5" x14ac:dyDescent="0.25">
      <c r="A15009" s="5">
        <f>15001</f>
      </c>
      <c r="B15009" s="5" t="s">
        <v>14280</v>
      </c>
      <c r="C15009" s="5" t="s">
        <v>11</v>
      </c>
      <c r="D15009" s="5" t="s">
        <v>12</v>
      </c>
      <c r="E15009" s="5" t="s">
        <v>3688</v>
      </c>
    </row>
    <row r="15010" spans="1:5" x14ac:dyDescent="0.25">
      <c r="A15010" s="5">
        <f>15002</f>
      </c>
      <c r="B15010" s="5" t="s">
        <v>14281</v>
      </c>
      <c r="C15010" s="5" t="s">
        <v>11</v>
      </c>
      <c r="D15010" s="5" t="s">
        <v>12</v>
      </c>
      <c r="E15010" s="5" t="s">
        <v>3688</v>
      </c>
    </row>
    <row r="15011" spans="1:5" x14ac:dyDescent="0.25">
      <c r="A15011" s="5">
        <f>15003</f>
      </c>
      <c r="B15011" s="5" t="s">
        <v>14282</v>
      </c>
      <c r="C15011" s="5" t="s">
        <v>11</v>
      </c>
      <c r="D15011" s="5" t="s">
        <v>12</v>
      </c>
      <c r="E15011" s="5" t="s">
        <v>732</v>
      </c>
    </row>
    <row r="15012" spans="1:5" x14ac:dyDescent="0.25">
      <c r="A15012" s="5">
        <f>15004</f>
      </c>
      <c r="B15012" s="5" t="s">
        <v>14283</v>
      </c>
      <c r="C15012" s="5" t="s">
        <v>11</v>
      </c>
      <c r="D15012" s="5" t="s">
        <v>12</v>
      </c>
      <c r="E15012" s="5" t="s">
        <v>9578</v>
      </c>
    </row>
    <row r="15013" spans="1:5" x14ac:dyDescent="0.25">
      <c r="A15013" s="5">
        <f>15005</f>
      </c>
      <c r="B15013" s="5" t="s">
        <v>14284</v>
      </c>
      <c r="C15013" s="5" t="s">
        <v>11</v>
      </c>
      <c r="D15013" s="5" t="s">
        <v>12</v>
      </c>
      <c r="E15013" s="5" t="s">
        <v>3382</v>
      </c>
    </row>
    <row r="15014" spans="1:5" x14ac:dyDescent="0.25">
      <c r="A15014" s="5">
        <f>15006</f>
      </c>
      <c r="B15014" s="5" t="s">
        <v>14285</v>
      </c>
      <c r="C15014" s="5" t="s">
        <v>11</v>
      </c>
      <c r="D15014" s="5" t="s">
        <v>12</v>
      </c>
      <c r="E15014" s="5" t="s">
        <v>2600</v>
      </c>
    </row>
    <row r="15015" spans="1:5" x14ac:dyDescent="0.25">
      <c r="A15015" s="5">
        <f>15007</f>
      </c>
      <c r="B15015" s="5" t="s">
        <v>14286</v>
      </c>
      <c r="C15015" s="5" t="s">
        <v>11</v>
      </c>
      <c r="D15015" s="5" t="s">
        <v>12</v>
      </c>
      <c r="E15015" s="5" t="s">
        <v>3386</v>
      </c>
    </row>
    <row r="15016" spans="1:5" x14ac:dyDescent="0.25">
      <c r="A15016" s="5">
        <f>15008</f>
      </c>
      <c r="B15016" s="5" t="s">
        <v>14287</v>
      </c>
      <c r="C15016" s="5" t="s">
        <v>11</v>
      </c>
      <c r="D15016" s="5" t="s">
        <v>12</v>
      </c>
      <c r="E15016" s="5" t="s">
        <v>3774</v>
      </c>
    </row>
    <row r="15017" spans="1:5" x14ac:dyDescent="0.25">
      <c r="A15017" s="5">
        <f>15009</f>
      </c>
      <c r="B15017" s="5" t="s">
        <v>14288</v>
      </c>
      <c r="C15017" s="5" t="s">
        <v>11</v>
      </c>
      <c r="D15017" s="5" t="s">
        <v>12</v>
      </c>
      <c r="E15017" s="5" t="s">
        <v>10479</v>
      </c>
    </row>
    <row r="15018" spans="1:5" x14ac:dyDescent="0.25">
      <c r="A15018" s="5">
        <f>15010</f>
      </c>
      <c r="B15018" s="5" t="s">
        <v>14289</v>
      </c>
      <c r="C15018" s="5" t="s">
        <v>11</v>
      </c>
      <c r="D15018" s="5" t="s">
        <v>12</v>
      </c>
      <c r="E15018" s="5" t="s">
        <v>2624</v>
      </c>
    </row>
    <row r="15019" spans="1:5" x14ac:dyDescent="0.25">
      <c r="A15019" s="5">
        <f>15011</f>
      </c>
      <c r="B15019" s="5" t="s">
        <v>14290</v>
      </c>
      <c r="C15019" s="5" t="s">
        <v>11</v>
      </c>
      <c r="D15019" s="5" t="s">
        <v>12</v>
      </c>
      <c r="E15019" s="5" t="s">
        <v>2598</v>
      </c>
    </row>
    <row r="15020" spans="1:5" x14ac:dyDescent="0.25">
      <c r="A15020" s="5">
        <f>15012</f>
      </c>
      <c r="B15020" s="5" t="s">
        <v>14291</v>
      </c>
      <c r="C15020" s="5" t="s">
        <v>11</v>
      </c>
      <c r="D15020" s="5" t="s">
        <v>12</v>
      </c>
      <c r="E15020" s="5" t="s">
        <v>3561</v>
      </c>
    </row>
    <row r="15021" spans="1:5" x14ac:dyDescent="0.25">
      <c r="A15021" s="5">
        <f>15013</f>
      </c>
      <c r="B15021" s="5" t="s">
        <v>14292</v>
      </c>
      <c r="C15021" s="5" t="s">
        <v>11</v>
      </c>
      <c r="D15021" s="5" t="s">
        <v>12</v>
      </c>
      <c r="E15021" s="5" t="s">
        <v>3561</v>
      </c>
    </row>
    <row r="15022" spans="1:5" x14ac:dyDescent="0.25">
      <c r="A15022" s="5">
        <f>15014</f>
      </c>
      <c r="B15022" s="5" t="s">
        <v>14293</v>
      </c>
      <c r="C15022" s="5" t="s">
        <v>11</v>
      </c>
      <c r="D15022" s="5" t="s">
        <v>12</v>
      </c>
      <c r="E15022" s="5" t="s">
        <v>1040</v>
      </c>
    </row>
    <row r="15023" spans="1:5" x14ac:dyDescent="0.25">
      <c r="A15023" s="5">
        <f>15015</f>
      </c>
      <c r="B15023" s="5" t="s">
        <v>14294</v>
      </c>
      <c r="C15023" s="5" t="s">
        <v>11</v>
      </c>
      <c r="D15023" s="5" t="s">
        <v>12</v>
      </c>
      <c r="E15023" s="5" t="s">
        <v>2296</v>
      </c>
    </row>
    <row r="15024" spans="1:5" x14ac:dyDescent="0.25">
      <c r="A15024" s="5">
        <f>15016</f>
      </c>
      <c r="B15024" s="5" t="s">
        <v>14295</v>
      </c>
      <c r="C15024" s="5" t="s">
        <v>11</v>
      </c>
      <c r="D15024" s="5" t="s">
        <v>12</v>
      </c>
      <c r="E15024" s="5" t="s">
        <v>3598</v>
      </c>
    </row>
    <row r="15025" spans="1:5" x14ac:dyDescent="0.25">
      <c r="A15025" s="5">
        <f>15017</f>
      </c>
      <c r="B15025" s="5" t="s">
        <v>14296</v>
      </c>
      <c r="C15025" s="5" t="s">
        <v>11</v>
      </c>
      <c r="D15025" s="5" t="s">
        <v>12</v>
      </c>
      <c r="E15025" s="5" t="s">
        <v>3879</v>
      </c>
    </row>
    <row r="15026" spans="1:5" x14ac:dyDescent="0.25">
      <c r="A15026" s="5">
        <f>15018</f>
      </c>
      <c r="B15026" s="5" t="s">
        <v>14297</v>
      </c>
      <c r="C15026" s="5" t="s">
        <v>11</v>
      </c>
      <c r="D15026" s="5" t="s">
        <v>12</v>
      </c>
      <c r="E15026" s="5" t="s">
        <v>3879</v>
      </c>
    </row>
    <row r="15027" spans="1:5" x14ac:dyDescent="0.25">
      <c r="A15027" s="5"/>
      <c r="B15027" s="5"/>
      <c r="C15027" s="5"/>
      <c r="D15027" s="5"/>
      <c r="E15027" s="5"/>
    </row>
    <row r="15028" spans="8:8" x14ac:dyDescent="0.25">
      <c r="H15028" s="6" t="s">
        <v>14298</v>
      </c>
    </row>
    <row r="15029" spans="1:8" x14ac:dyDescent="0.25">
      <c r="A15029" s="7" t="s">
        <v>14299</v>
      </c>
      <c r="E15029" s="7" t="s">
        <v>14300</v>
      </c>
      <c r="H15029" s="7" t="s">
        <v>14301</v>
      </c>
    </row>
    <row r="15030" spans="1:8" x14ac:dyDescent="0.25">
      <c r="A15030" s="8" t="s">
        <v>14302</v>
      </c>
      <c r="E15030" s="8" t="s">
        <v>14302</v>
      </c>
      <c r="H15030" s="8" t="s">
        <v>14302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2022-11-12T06:17:40Z</dcterms:created>
  <dcterms:modified xsi:type="dcterms:W3CDTF">2022-11-12T06:17:40Z</dcterms:modified>
</cp:coreProperties>
</file>